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3.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9.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6765" windowHeight="4290" tabRatio="753" firstSheet="14" activeTab="18"/>
  </bookViews>
  <sheets>
    <sheet name="Introduction" sheetId="1" r:id="rId1"/>
    <sheet name="Index" sheetId="2" r:id="rId2"/>
    <sheet name="Base Data" sheetId="3" r:id="rId3"/>
    <sheet name="Engine Formulas" sheetId="4" r:id="rId4"/>
    <sheet name="Turbocharging Formulas" sheetId="5" r:id="rId5"/>
    <sheet name="Turbocharger matching tool" sheetId="6" r:id="rId6"/>
    <sheet name="Intercooling" sheetId="7" r:id="rId7"/>
    <sheet name="Altitude Chart" sheetId="8" r:id="rId8"/>
    <sheet name="Aerodynamic Formulas" sheetId="9" r:id="rId9"/>
    <sheet name="Chassis Formulas" sheetId="10" r:id="rId10"/>
    <sheet name="Braking Formulas" sheetId="11" r:id="rId11"/>
    <sheet name="Quarter mile formulas" sheetId="12" r:id="rId12"/>
    <sheet name="Shifting and gearing Formulas" sheetId="13" r:id="rId13"/>
    <sheet name="Electrical Formulas" sheetId="14" r:id="rId14"/>
    <sheet name="DIN Wiring Codes" sheetId="15" r:id="rId15"/>
    <sheet name="Wire size selection" sheetId="16" r:id="rId16"/>
    <sheet name="Instrument calibration" sheetId="17" r:id="rId17"/>
    <sheet name="average MPH and MPG" sheetId="18" r:id="rId18"/>
    <sheet name="Tire size formulas" sheetId="19" r:id="rId19"/>
    <sheet name="Shop Formulas" sheetId="20" r:id="rId20"/>
    <sheet name="Glossary" sheetId="21" r:id="rId21"/>
    <sheet name="Bibliography" sheetId="22" r:id="rId22"/>
  </sheets>
  <definedNames>
    <definedName name="a1\">'Turbocharger matching tool'!$A$42</definedName>
    <definedName name="Absolute_Pressure___As_defined_in__Turbocharging___by_Hugh_MacInnes__the_pressure_measured_above">'Glossary'!$A$2</definedName>
    <definedName name="Aspect_Ratio">'Glossary'!$A$11</definedName>
    <definedName name="Automatic_Transmissions">'Quarter mile formulas'!$A$36</definedName>
    <definedName name="Basic_circuit_analysis">'Electrical Formulas'!$A$12</definedName>
    <definedName name="Carburetor_selection__racing_engine__110__Volumetric_efficiency_assumed">'Engine Formulas'!$A$28</definedName>
    <definedName name="Carburetor_selection__street_engine__85__Volumetric_efficiency_assumed">'Engine Formulas'!$A$22</definedName>
    <definedName name="Case_identifier">'Base Data'!$A$4</definedName>
    <definedName name="Center_of_Gravity_horizontal_position__lengthways">'Chassis Formulas'!$A$24</definedName>
    <definedName name="Center_of_Gravity_sideways_location">'Chassis Formulas'!$A$30</definedName>
    <definedName name="Change_in_RPM_when_shifting">'Shifting and gearing Formulas'!$A$22</definedName>
    <definedName name="Compression_Ratio">'Engine Formulas'!$A$44</definedName>
    <definedName name="Conversion_formulas">'Shop Formulas'!$A$10</definedName>
    <definedName name="Cylinder_Displacement">'Engine Formulas'!$A$6</definedName>
    <definedName name="Deck_Height_displacement">'Engine Formulas'!$A$39</definedName>
    <definedName name="Displacement_using_metric_measurements">'Intercooling'!#REF!</definedName>
    <definedName name="Distance_travelled">'average MPH and MPG'!$A$26</definedName>
    <definedName name="Drive_wheel_torque">'Chassis Formulas'!$A$47</definedName>
    <definedName name="Driveshaft_torque__not_for_VW_s">'Shifting and gearing Formulas'!$A$27</definedName>
    <definedName name="Effective_drive_ratio_caused_by_tire_change">'Tire size formulas'!$A$8</definedName>
    <definedName name="Elapsed_time">'Quarter mile formulas'!$A$2</definedName>
    <definedName name="Engine_air_capacity__Volumetric_efficiency_at_RPM_of_highest_torque">'Engine Formulas'!$A$16</definedName>
    <definedName name="Equivalent_drive_ratio__to_bring_back_stock_performance_after_a_tire_size_change">'Tire size formulas'!$A$13</definedName>
    <definedName name="Fluid_displacement">'Braking Formulas'!$A$20</definedName>
    <definedName name="Force_multiplication">'Braking Formulas'!$A$15</definedName>
    <definedName name="Front_Rear_weight_distribution">'Chassis Formulas'!$A$12</definedName>
    <definedName name="Fuel_Range">'average MPH and MPG'!$A$11</definedName>
    <definedName name="g_Force__forward_acceleration">'Chassis Formulas'!$A$59</definedName>
    <definedName name="Guage_Pressure___Pressure_differential_measured_between_two_places__usually_between_ambient">'Glossary'!$A$5</definedName>
    <definedName name="Hundredths_of_an_hour_into_minutes">'average MPH and MPG'!$A$34</definedName>
    <definedName name="Hydraulic_pressure">'Braking Formulas'!$A$10</definedName>
    <definedName name="Indicated_speed_Vs._actual_speed">'Tire size formulas'!$A$23</definedName>
    <definedName name="Lap_time_required_for_a_desired_average_speed">'average MPH and MPG'!$A$49</definedName>
    <definedName name="Lateral_acceleration">'Chassis Formulas'!$A$71</definedName>
    <definedName name="Lateral_weight_transfer">'Chassis Formulas'!$A$76</definedName>
    <definedName name="Left_Right_weight_distribution">'Chassis Formulas'!$A$18</definedName>
    <definedName name="Manual_Transmissions">'Quarter mile formulas'!$A$32</definedName>
    <definedName name="Miles_per_gallon">'average MPH and MPG'!$A$2</definedName>
    <definedName name="Miles_Per_Hour">'Quarter mile formulas'!$A$17</definedName>
    <definedName name="Miles_per_hour__Average">'average MPH and MPG'!$A$21</definedName>
    <definedName name="Miles_per_hour__average_lap_speed">'average MPH and MPG'!$A$44</definedName>
    <definedName name="Miles_per_hour_in_each_gear_at_a_given_RPM__shift_points">'Shifting and gearing Formulas'!$A$32</definedName>
    <definedName name="Odometer_error__5_measured_mile_test">'Instrument calibration'!$A$12</definedName>
    <definedName name="Ohms_law">'Electrical Formulas'!$A$2</definedName>
    <definedName name="Overall_Gear_ratio__required_to_attain_a_desired_RPM_at_a_given_MPH">'Shifting and gearing Formulas'!$A$62</definedName>
    <definedName name="Parallel_circuit__I.E._headlights">'Electrical Formulas'!$A$31</definedName>
    <definedName name="Piston_Area">'Braking Formulas'!$A$5</definedName>
    <definedName name="Piston_movement">'Braking Formulas'!$A$25</definedName>
    <definedName name="Power__electrical">'Electrical Formulas'!$A$49</definedName>
    <definedName name="Power_or_Weight_from_ET">'Quarter mile formulas'!$A$8</definedName>
    <definedName name="Power_or_Weight_from_MPH">'Quarter mile formulas'!$A$22</definedName>
    <definedName name="Predicting_fuel_consumption">'average MPH and MPG'!$A$16</definedName>
    <definedName name="RPM_at_a_given_MPH">'Shifting and gearing Formulas'!$A$47</definedName>
    <definedName name="Spark_rate">'Engine Formulas'!$A$50</definedName>
    <definedName name="Speedometer_Check">'Instrument calibration'!$A$2</definedName>
    <definedName name="Speedometer_correction_after_tire_changes">'Tire size formulas'!$A$18</definedName>
    <definedName name="Speedometer_error_percentage">'Instrument calibration'!$A$7</definedName>
    <definedName name="System_current_in_a_parallel_circuit">'Electrical Formulas'!$A$39</definedName>
    <definedName name="Tire_Diameter__effects_of_changing_tire_diameter">'Shifting and gearing Formulas'!$A$68</definedName>
    <definedName name="Translating_Metric_tire_sizes">'Tire size formulas'!$A$2</definedName>
    <definedName name="Voltage_drop_across_a_device__with_more_than_one_device_in_a_series_system">'Electrical Formulas'!$A$22</definedName>
    <definedName name="Volumetric_efficiency_definition">'Glossary'!$A$2</definedName>
    <definedName name="Volumetric_Effiecincy__VE____The_relationship_between_the_theoretical_capacity_and_the_actual_airflow">'Glossary'!$A$8</definedName>
    <definedName name="Weight_transfer">'Chassis Formulas'!$A$65</definedName>
    <definedName name="Wheel_thrust">'Chassis Formulas'!$A$53</definedName>
  </definedNames>
  <calcPr fullCalcOnLoad="1" fullPrecision="0"/>
</workbook>
</file>

<file path=xl/comments10.xml><?xml version="1.0" encoding="utf-8"?>
<comments xmlns="http://schemas.openxmlformats.org/spreadsheetml/2006/main">
  <authors>
    <author>Jake Kooser</author>
  </authors>
  <commentList>
    <comment ref="F10" authorId="0">
      <text>
        <r>
          <rPr>
            <b/>
            <sz val="8"/>
            <rFont val="Tahoma"/>
            <family val="2"/>
          </rPr>
          <t>Insert a different weight value here to compare how weight changes will affect your vehicle's performance.</t>
        </r>
      </text>
    </comment>
  </commentList>
</comments>
</file>

<file path=xl/comments13.xml><?xml version="1.0" encoding="utf-8"?>
<comments xmlns="http://schemas.openxmlformats.org/spreadsheetml/2006/main">
  <authors>
    <author>Jake Kooser</author>
  </authors>
  <commentList>
    <comment ref="D7" authorId="0">
      <text>
        <r>
          <rPr>
            <b/>
            <sz val="8"/>
            <rFont val="Tahoma"/>
            <family val="2"/>
          </rPr>
          <t>The specifications used for this tool are from the U.K. VW magazine 'VolksWorld', October 1997 - Engine and Transmission Formulae, by Keith Seume.</t>
        </r>
      </text>
    </comment>
    <comment ref="A10" authorId="0">
      <text>
        <r>
          <rPr>
            <b/>
            <sz val="8"/>
            <rFont val="Tahoma"/>
            <family val="2"/>
          </rPr>
          <t>Note: sometimes, the same transaxle numbers were found in more than one model.  You may want to refer to the chart located in cells A115 to A147 of this sheet for more positive I.D.</t>
        </r>
      </text>
    </comment>
  </commentList>
</comments>
</file>

<file path=xl/comments19.xml><?xml version="1.0" encoding="utf-8"?>
<comments xmlns="http://schemas.openxmlformats.org/spreadsheetml/2006/main">
  <authors>
    <author>Jake Kooser</author>
  </authors>
  <commentList>
    <comment ref="C6" authorId="0">
      <text>
        <r>
          <rPr>
            <b/>
            <sz val="8"/>
            <rFont val="Tahoma"/>
            <family val="0"/>
          </rPr>
          <t>Jake Kooser:</t>
        </r>
        <r>
          <rPr>
            <sz val="8"/>
            <rFont val="Tahoma"/>
            <family val="0"/>
          </rPr>
          <t xml:space="preserve">
This is the Aspect Ratio of the tire.  See Aspect ratio in Glossary.
</t>
        </r>
      </text>
    </comment>
  </commentList>
</comments>
</file>

<file path=xl/comments3.xml><?xml version="1.0" encoding="utf-8"?>
<comments xmlns="http://schemas.openxmlformats.org/spreadsheetml/2006/main">
  <authors>
    <author>Jake Kooser</author>
  </authors>
  <commentList>
    <comment ref="G4" authorId="0">
      <text>
        <r>
          <rPr>
            <b/>
            <sz val="8"/>
            <color indexed="8"/>
            <rFont val="Tahoma"/>
            <family val="2"/>
          </rPr>
          <t>The specifications used for this tool are from the U.K. VW magazine 'VolksWorld', October 1997 - Engine and Transmission Formulae, by Keith Seume.</t>
        </r>
        <r>
          <rPr>
            <sz val="8"/>
            <rFont val="Tahoma"/>
            <family val="0"/>
          </rPr>
          <t xml:space="preserve">
</t>
        </r>
      </text>
    </comment>
    <comment ref="B11" authorId="0">
      <text>
        <r>
          <rPr>
            <b/>
            <sz val="8"/>
            <rFont val="Tahoma"/>
            <family val="0"/>
          </rPr>
          <t>These formulas will work any number of cylinders, but are optimized for a 4-cylinder, air-cooled VW.</t>
        </r>
        <r>
          <rPr>
            <sz val="8"/>
            <rFont val="Tahoma"/>
            <family val="0"/>
          </rPr>
          <t xml:space="preserve">
</t>
        </r>
      </text>
    </comment>
    <comment ref="A7" authorId="0">
      <text>
        <r>
          <rPr>
            <b/>
            <sz val="8"/>
            <rFont val="Tahoma"/>
            <family val="0"/>
          </rPr>
          <t>Found under the grime that typically accumulates below the generator stand on a type 1 or 2, or on top of the crankcase on the type 3.</t>
        </r>
        <r>
          <rPr>
            <sz val="8"/>
            <rFont val="Tahoma"/>
            <family val="0"/>
          </rPr>
          <t xml:space="preserve">
</t>
        </r>
      </text>
    </comment>
    <comment ref="C7" authorId="0">
      <text>
        <r>
          <rPr>
            <b/>
            <sz val="8"/>
            <rFont val="Tahoma"/>
            <family val="2"/>
          </rPr>
          <t xml:space="preserve">Note: sometimes, the same engine numbers were found in more than one type.  You may want to refer to the chart located in </t>
        </r>
        <r>
          <rPr>
            <b/>
            <sz val="8"/>
            <color indexed="10"/>
            <rFont val="Tahoma"/>
            <family val="2"/>
          </rPr>
          <t>cells A100 to H200</t>
        </r>
        <r>
          <rPr>
            <b/>
            <sz val="8"/>
            <rFont val="Tahoma"/>
            <family val="2"/>
          </rPr>
          <t xml:space="preserve"> of this sheet for more positive I.D.</t>
        </r>
        <r>
          <rPr>
            <sz val="8"/>
            <rFont val="Tahoma"/>
            <family val="0"/>
          </rPr>
          <t xml:space="preserve">
</t>
        </r>
      </text>
    </comment>
    <comment ref="E23" authorId="0">
      <text>
        <r>
          <rPr>
            <b/>
            <sz val="8"/>
            <rFont val="Tahoma"/>
            <family val="0"/>
          </rPr>
          <t>Note: this variable requires TWO inputs.  You must enter the RPM that peak torque occurs at.</t>
        </r>
        <r>
          <rPr>
            <sz val="8"/>
            <rFont val="Tahoma"/>
            <family val="0"/>
          </rPr>
          <t xml:space="preserve">
</t>
        </r>
      </text>
    </comment>
  </commentList>
</comments>
</file>

<file path=xl/comments4.xml><?xml version="1.0" encoding="utf-8"?>
<comments xmlns="http://schemas.openxmlformats.org/spreadsheetml/2006/main">
  <authors>
    <author>Jake Kooser</author>
    <author>Count Blah!</author>
  </authors>
  <commentList>
    <comment ref="E16" authorId="0">
      <text>
        <r>
          <rPr>
            <b/>
            <sz val="8"/>
            <rFont val="Tahoma"/>
            <family val="0"/>
          </rPr>
          <t xml:space="preserve">Click on this link to go to the glossary.
</t>
        </r>
        <r>
          <rPr>
            <sz val="8"/>
            <rFont val="Tahoma"/>
            <family val="0"/>
          </rPr>
          <t xml:space="preserve">
</t>
        </r>
      </text>
    </comment>
    <comment ref="E12" authorId="0">
      <text>
        <r>
          <rPr>
            <b/>
            <sz val="8"/>
            <rFont val="Tahoma"/>
            <family val="0"/>
          </rPr>
          <t>Jake Kooser: This formula is also from VolksWorld.  I have written them, but have not received a response on how they arrived at this formula.  Ideas, anyone?</t>
        </r>
        <r>
          <rPr>
            <sz val="8"/>
            <rFont val="Tahoma"/>
            <family val="0"/>
          </rPr>
          <t xml:space="preserve">
</t>
        </r>
      </text>
    </comment>
    <comment ref="E39" authorId="0">
      <text>
        <r>
          <rPr>
            <b/>
            <sz val="8"/>
            <rFont val="Tahoma"/>
            <family val="0"/>
          </rPr>
          <t>I am still trying to figure out how to calculate this with domed pistons.</t>
        </r>
        <r>
          <rPr>
            <sz val="8"/>
            <rFont val="Tahoma"/>
            <family val="0"/>
          </rPr>
          <t xml:space="preserve">
</t>
        </r>
      </text>
    </comment>
    <comment ref="A34" authorId="1">
      <text>
        <r>
          <rPr>
            <b/>
            <sz val="8"/>
            <rFont val="Tahoma"/>
            <family val="0"/>
          </rPr>
          <t>Source:  K&amp;N Engineering, Inc.</t>
        </r>
      </text>
    </comment>
  </commentList>
</comments>
</file>

<file path=xl/comments6.xml><?xml version="1.0" encoding="utf-8"?>
<comments xmlns="http://schemas.openxmlformats.org/spreadsheetml/2006/main">
  <authors>
    <author>Jake Kooser</author>
  </authors>
  <commentList>
    <comment ref="B6" authorId="0">
      <text>
        <r>
          <rPr>
            <b/>
            <sz val="8"/>
            <rFont val="Tahoma"/>
            <family val="2"/>
          </rPr>
          <t>Guage Pressure - Pressure differential measured between two places, usually between ambient pressure and manifold pressure.</t>
        </r>
      </text>
    </comment>
    <comment ref="C6" authorId="0">
      <text>
        <r>
          <rPr>
            <b/>
            <sz val="8"/>
            <rFont val="Tahoma"/>
            <family val="2"/>
          </rPr>
          <t>Absolute Pressure - As defined in "Turbocharging", by Hugh MacInnes, the pressure measured above a total vacuum.</t>
        </r>
      </text>
    </comment>
    <comment ref="G12" authorId="0">
      <text>
        <r>
          <rPr>
            <b/>
            <sz val="8"/>
            <rFont val="Tahoma"/>
            <family val="2"/>
          </rPr>
          <t xml:space="preserve">Turbochargers typically run between 60% to 70% percent compressor efficiency.
</t>
        </r>
        <r>
          <rPr>
            <sz val="8"/>
            <rFont val="Tahoma"/>
            <family val="0"/>
          </rPr>
          <t xml:space="preserve">- </t>
        </r>
        <r>
          <rPr>
            <b/>
            <i/>
            <sz val="8"/>
            <rFont val="Tahoma"/>
            <family val="2"/>
          </rPr>
          <t>Turbocharging, Hugh MacInnes, page 32.</t>
        </r>
        <r>
          <rPr>
            <sz val="8"/>
            <rFont val="Tahoma"/>
            <family val="0"/>
          </rPr>
          <t xml:space="preserve">
</t>
        </r>
      </text>
    </comment>
    <comment ref="C15" authorId="0">
      <text>
        <r>
          <rPr>
            <b/>
            <sz val="8"/>
            <rFont val="Tahoma"/>
            <family val="2"/>
          </rPr>
          <t>"Because of port restrictions and residual gases left in the combustion chamber, this engine will probably flow only about 80% of it's theoretical capacity"</t>
        </r>
        <r>
          <rPr>
            <sz val="8"/>
            <rFont val="Tahoma"/>
            <family val="2"/>
          </rPr>
          <t xml:space="preserve">
</t>
        </r>
        <r>
          <rPr>
            <b/>
            <i/>
            <sz val="8"/>
            <rFont val="Tahoma"/>
            <family val="2"/>
          </rPr>
          <t>-Hugh MacInnes, Turbocharging, page 37</t>
        </r>
        <r>
          <rPr>
            <sz val="8"/>
            <rFont val="Tahoma"/>
            <family val="0"/>
          </rPr>
          <t xml:space="preserve">
</t>
        </r>
      </text>
    </comment>
  </commentList>
</comments>
</file>

<file path=xl/sharedStrings.xml><?xml version="1.0" encoding="utf-8"?>
<sst xmlns="http://schemas.openxmlformats.org/spreadsheetml/2006/main" count="1456" uniqueCount="961">
  <si>
    <t>Please input as many of the following common variables as possible.</t>
  </si>
  <si>
    <t>Bore</t>
  </si>
  <si>
    <t>Stroke</t>
  </si>
  <si>
    <t>Deck height (mm)</t>
  </si>
  <si>
    <t>Combustion chamber cc's</t>
  </si>
  <si>
    <t>Flywheel torque</t>
  </si>
  <si>
    <t>Chassis data</t>
  </si>
  <si>
    <t>Total car weight</t>
  </si>
  <si>
    <t>Wheelbase (inches)</t>
  </si>
  <si>
    <t>Track</t>
  </si>
  <si>
    <t># of Cylinders</t>
  </si>
  <si>
    <t>Displacement (cubic centimeters)</t>
  </si>
  <si>
    <t xml:space="preserve">RPM </t>
  </si>
  <si>
    <t>Displacement (cc)</t>
  </si>
  <si>
    <t>CFM</t>
  </si>
  <si>
    <t>RPM</t>
  </si>
  <si>
    <t>Carburetor CFM</t>
  </si>
  <si>
    <t>Deck height displacement (cc)</t>
  </si>
  <si>
    <t>Cylinder Displacement</t>
  </si>
  <si>
    <t>Cylinder displacement (cc)</t>
  </si>
  <si>
    <t>Compression Ratio</t>
  </si>
  <si>
    <t>Deck height displacement</t>
  </si>
  <si>
    <t>Compression ratio</t>
  </si>
  <si>
    <t>Changing compression ratios</t>
  </si>
  <si>
    <t>Spark rate</t>
  </si>
  <si>
    <t>Spark Rate (sparks per minute)</t>
  </si>
  <si>
    <t>Front/Rear weight distribution</t>
  </si>
  <si>
    <t>Weight on front pair of wheels</t>
  </si>
  <si>
    <t>Left/Right weight distribution</t>
  </si>
  <si>
    <t>Weight on left pair of wheels</t>
  </si>
  <si>
    <t>Center of Gravity horizontal position (lengthways)</t>
  </si>
  <si>
    <t>Weight on rear wheels</t>
  </si>
  <si>
    <t>cg location behind front wheels (inches)</t>
  </si>
  <si>
    <t>Center of Gravity sideways location</t>
  </si>
  <si>
    <t>Weight on lighter side of car</t>
  </si>
  <si>
    <t>Drive wheel torque</t>
  </si>
  <si>
    <t>First gear ratio</t>
  </si>
  <si>
    <t>Final drive ratio</t>
  </si>
  <si>
    <t>Wheel thrust</t>
  </si>
  <si>
    <t>rolling radius</t>
  </si>
  <si>
    <t>Vehicle weight</t>
  </si>
  <si>
    <t>Weight transfer</t>
  </si>
  <si>
    <t>Weight</t>
  </si>
  <si>
    <t>cg Height</t>
  </si>
  <si>
    <t>Wheelbase</t>
  </si>
  <si>
    <t>Lateral acceleration</t>
  </si>
  <si>
    <t>Skidpad radius</t>
  </si>
  <si>
    <t>Lap time</t>
  </si>
  <si>
    <t>Lateral acceleration (g)</t>
  </si>
  <si>
    <t>Lateral weight transfer</t>
  </si>
  <si>
    <t>Wheel track</t>
  </si>
  <si>
    <t>g</t>
  </si>
  <si>
    <t>Piston Area</t>
  </si>
  <si>
    <t>Diameter (inches)</t>
  </si>
  <si>
    <t>Piston area</t>
  </si>
  <si>
    <t>Hydraulic pressure</t>
  </si>
  <si>
    <t>Force multiplication</t>
  </si>
  <si>
    <t>Fluid displacement</t>
  </si>
  <si>
    <t>Fluid displaced (cubic inches)</t>
  </si>
  <si>
    <t>Piston movement</t>
  </si>
  <si>
    <t>Horsepower</t>
  </si>
  <si>
    <t>Elapsed Time</t>
  </si>
  <si>
    <t>HP required</t>
  </si>
  <si>
    <t>Vehicle Weight</t>
  </si>
  <si>
    <t>MPH</t>
  </si>
  <si>
    <t>HP</t>
  </si>
  <si>
    <t>Reality Check!  In order to reach the above times, PROPER gearing should be calculated using this formula.</t>
  </si>
  <si>
    <t>Manual Transmissions</t>
  </si>
  <si>
    <t>Tire diameter</t>
  </si>
  <si>
    <t>Overall Gear Ratio</t>
  </si>
  <si>
    <t>Automatic Transmissions</t>
  </si>
  <si>
    <t>Overall gear ratio</t>
  </si>
  <si>
    <t>Compare this to your vehicle's actual gearing using this formula.</t>
  </si>
  <si>
    <t>Highest gear ratio in 1/4 mile run</t>
  </si>
  <si>
    <t>Change in RPM when shifting</t>
  </si>
  <si>
    <t>RPM before shift</t>
  </si>
  <si>
    <t>ratio shifted from</t>
  </si>
  <si>
    <t>ratio shifted into</t>
  </si>
  <si>
    <t>RPM after shift</t>
  </si>
  <si>
    <t>RPM Gain or Loss</t>
  </si>
  <si>
    <t>Transmission ratio</t>
  </si>
  <si>
    <t>Driveshaft torque</t>
  </si>
  <si>
    <t>Miles per hour in each gear at a given RPM (shift points)</t>
  </si>
  <si>
    <t>1st gear ratio</t>
  </si>
  <si>
    <t>Ring &amp; Pinion ratio</t>
  </si>
  <si>
    <t>2nd gear ratio</t>
  </si>
  <si>
    <t>3rd gear ratio</t>
  </si>
  <si>
    <t>4th gear ratio</t>
  </si>
  <si>
    <t>5th gear ratio</t>
  </si>
  <si>
    <t>6th gear ratio</t>
  </si>
  <si>
    <t>RPM at a given MPH</t>
  </si>
  <si>
    <t>Overall Gear ratio (required to attain a desired RPM at a given MPH)</t>
  </si>
  <si>
    <t>RPM (example - torque peak)</t>
  </si>
  <si>
    <t>Tire Diameter (effects of changing tire diameter)</t>
  </si>
  <si>
    <t>Overall gear ratio (derived in charts above)</t>
  </si>
  <si>
    <t>If you know any two of…</t>
  </si>
  <si>
    <t>Voltage</t>
  </si>
  <si>
    <t>Current</t>
  </si>
  <si>
    <t>Resistance</t>
  </si>
  <si>
    <t>Then the third value is…</t>
  </si>
  <si>
    <t>Basic circuit analysis</t>
  </si>
  <si>
    <t>Series circuit (I.E. test light between 12v and ground)</t>
  </si>
  <si>
    <t>Resistance of device (ohms)</t>
  </si>
  <si>
    <t xml:space="preserve">Voltage </t>
  </si>
  <si>
    <t>Current flow through device (amps)</t>
  </si>
  <si>
    <t>Voltage drop across a device (with more than one device in a series system)</t>
  </si>
  <si>
    <t>Input voltage</t>
  </si>
  <si>
    <t>Resistance 1</t>
  </si>
  <si>
    <t>Resistance 2</t>
  </si>
  <si>
    <t>system current (constant throughout system in series)</t>
  </si>
  <si>
    <t>Voltage drop across device 1</t>
  </si>
  <si>
    <t>Voltage drop across device 2</t>
  </si>
  <si>
    <t>Parallel circuit (I.E. headlights)</t>
  </si>
  <si>
    <t>Equivalent resistance of circuit (ohms)</t>
  </si>
  <si>
    <t>Resistance 3</t>
  </si>
  <si>
    <t>Equivalent resistance</t>
  </si>
  <si>
    <t>System current in a parallel circuit</t>
  </si>
  <si>
    <t>System current</t>
  </si>
  <si>
    <t>Current used by each device</t>
  </si>
  <si>
    <t>Current 1</t>
  </si>
  <si>
    <t>Current 2</t>
  </si>
  <si>
    <t>Power (electrical)</t>
  </si>
  <si>
    <t>Power (watts)</t>
  </si>
  <si>
    <t xml:space="preserve">Current </t>
  </si>
  <si>
    <t>Metric (mm)2</t>
  </si>
  <si>
    <t>SAE AWG (gage)</t>
  </si>
  <si>
    <t>Ohms per 1000 feet</t>
  </si>
  <si>
    <t>Ohms per foot</t>
  </si>
  <si>
    <t>00</t>
  </si>
  <si>
    <t>Wattage of device</t>
  </si>
  <si>
    <t>System voltage</t>
  </si>
  <si>
    <t>Length of wire needed</t>
  </si>
  <si>
    <t>Device current</t>
  </si>
  <si>
    <t>Wire gage</t>
  </si>
  <si>
    <t>ohms/ft</t>
  </si>
  <si>
    <t>Voltage drop along wire</t>
  </si>
  <si>
    <t>Speedometer Check!</t>
  </si>
  <si>
    <t>Number of seconds to travel one MARKED (not odometer!) mile</t>
  </si>
  <si>
    <t>Actual Speed</t>
  </si>
  <si>
    <t>Speedometer error percentage</t>
  </si>
  <si>
    <t>Actual speed</t>
  </si>
  <si>
    <t>Indicated speed</t>
  </si>
  <si>
    <t>Difference</t>
  </si>
  <si>
    <t>Percent error</t>
  </si>
  <si>
    <t>Odometer error (5 measured mile test)</t>
  </si>
  <si>
    <t>Start reading</t>
  </si>
  <si>
    <t>Finish reading</t>
  </si>
  <si>
    <t>Indicated distance</t>
  </si>
  <si>
    <t>Error percentage (Vs. 5 measured miles)</t>
  </si>
  <si>
    <t>Miles per gallon</t>
  </si>
  <si>
    <t>Distance traveled (mi.)</t>
  </si>
  <si>
    <t>Fuel used (gallons)</t>
  </si>
  <si>
    <t>Miles Per Gallon</t>
  </si>
  <si>
    <t>For our metric friends…</t>
  </si>
  <si>
    <t>Distance (Km.)</t>
  </si>
  <si>
    <t>Petrol used (L)</t>
  </si>
  <si>
    <t>Liters per Kilometer</t>
  </si>
  <si>
    <t>Fuel Range</t>
  </si>
  <si>
    <t>Number of gallons</t>
  </si>
  <si>
    <t>MPG</t>
  </si>
  <si>
    <t>Range</t>
  </si>
  <si>
    <t>Predicting fuel consumption</t>
  </si>
  <si>
    <t>Miles to travel</t>
  </si>
  <si>
    <t>Gallons required</t>
  </si>
  <si>
    <t>Miles per hour (Average)</t>
  </si>
  <si>
    <t>Miles traveled</t>
  </si>
  <si>
    <t xml:space="preserve">Time </t>
  </si>
  <si>
    <t>Average MPH</t>
  </si>
  <si>
    <t>Time</t>
  </si>
  <si>
    <t>Elapsed time (hours)</t>
  </si>
  <si>
    <t>Hundredths of an hour into minutes</t>
  </si>
  <si>
    <t>Hundredths</t>
  </si>
  <si>
    <t>Minutes</t>
  </si>
  <si>
    <t>And tenths of a minute into seconds…</t>
  </si>
  <si>
    <t>Tenths of a minute</t>
  </si>
  <si>
    <t>Seconds</t>
  </si>
  <si>
    <t>Miles per hour (average lap speed)</t>
  </si>
  <si>
    <t>Miles per lap</t>
  </si>
  <si>
    <t>Lap time (seconds)</t>
  </si>
  <si>
    <t>Average lap speed</t>
  </si>
  <si>
    <t>Lap time required for a desired average speed</t>
  </si>
  <si>
    <t>Lap speed desired</t>
  </si>
  <si>
    <t>Lap time required</t>
  </si>
  <si>
    <t>Translating Metric tire sizes</t>
  </si>
  <si>
    <t>1st number</t>
  </si>
  <si>
    <t>2nd number</t>
  </si>
  <si>
    <t>3rd number (after "R")</t>
  </si>
  <si>
    <t>Tire diameter (in inches)</t>
  </si>
  <si>
    <t>Effective drive ratio caused by tire change</t>
  </si>
  <si>
    <t>Old tire diameter</t>
  </si>
  <si>
    <t>New tire diameter</t>
  </si>
  <si>
    <t>Original gear ratio</t>
  </si>
  <si>
    <t>Effective gear ratio after changing tires</t>
  </si>
  <si>
    <t>Equivalent drive ratio (to bring back stock performance after a tire size change)</t>
  </si>
  <si>
    <t>Equivalent gear ratio to restore stock performance after changing tires</t>
  </si>
  <si>
    <t>Speedometer correction after tire changes</t>
  </si>
  <si>
    <t>Indicated MPH</t>
  </si>
  <si>
    <t>Actual MPH</t>
  </si>
  <si>
    <t>Indicated speed Vs. actual speed</t>
  </si>
  <si>
    <t>Indicated MPH (needed to travel at desired actual MPH)</t>
  </si>
  <si>
    <t>Conversion formulas</t>
  </si>
  <si>
    <t>Length</t>
  </si>
  <si>
    <t>Temperature</t>
  </si>
  <si>
    <t>Centimeters</t>
  </si>
  <si>
    <t>Inches</t>
  </si>
  <si>
    <t>Feet</t>
  </si>
  <si>
    <t>Millimeters</t>
  </si>
  <si>
    <t>or</t>
  </si>
  <si>
    <t>to</t>
  </si>
  <si>
    <t>Kilometers</t>
  </si>
  <si>
    <t>Miles</t>
  </si>
  <si>
    <t xml:space="preserve">to </t>
  </si>
  <si>
    <t xml:space="preserve">Centimeters </t>
  </si>
  <si>
    <t>Grams</t>
  </si>
  <si>
    <t>Kilograms</t>
  </si>
  <si>
    <t>Tons (metric)</t>
  </si>
  <si>
    <t>Ounces</t>
  </si>
  <si>
    <t>Pounds</t>
  </si>
  <si>
    <t>Tons (short)</t>
  </si>
  <si>
    <t>Milligrams</t>
  </si>
  <si>
    <t>Degrees F</t>
  </si>
  <si>
    <t>Degrees C</t>
  </si>
  <si>
    <t>Degrees K</t>
  </si>
  <si>
    <t>Volume and displacement</t>
  </si>
  <si>
    <t>Liters</t>
  </si>
  <si>
    <t>Cubic Inches</t>
  </si>
  <si>
    <t>Wire resistance for given length</t>
  </si>
  <si>
    <t>NOTE - the standard rule of thumb is to use wire that will have less than .5 Volts drop over the length of the run.</t>
  </si>
  <si>
    <t xml:space="preserve">Some General rules - </t>
  </si>
  <si>
    <t>Variables that require input are highlighted yellow</t>
  </si>
  <si>
    <t>Updates -</t>
  </si>
  <si>
    <t>Version 1.1, added wire size selector and conversion formulas and index page.</t>
  </si>
  <si>
    <t>Base data</t>
  </si>
  <si>
    <t>Engine Formulas</t>
  </si>
  <si>
    <t>Chassis Formulas</t>
  </si>
  <si>
    <t>Braking Formulas</t>
  </si>
  <si>
    <t>Quarter mile performance formulas</t>
  </si>
  <si>
    <t>Shifting and gearing formulas</t>
  </si>
  <si>
    <t>Electrical Formulas</t>
  </si>
  <si>
    <t>Instrument calibration formulas</t>
  </si>
  <si>
    <t>MPH and MPG formulas</t>
  </si>
  <si>
    <t>Tire size formulas</t>
  </si>
  <si>
    <t>Shop formulas</t>
  </si>
  <si>
    <t>Displacement (using metric measurements)</t>
  </si>
  <si>
    <t>Engine air capacity</t>
  </si>
  <si>
    <t>Cylinder displacement</t>
  </si>
  <si>
    <t>Left / right weight distribution</t>
  </si>
  <si>
    <t>Center of gravity location (longitudinal)</t>
  </si>
  <si>
    <t>Center of gravity location (transverse)</t>
  </si>
  <si>
    <t>G force due to acceleration</t>
  </si>
  <si>
    <t>Elapsed time</t>
  </si>
  <si>
    <t>Miles per hour</t>
  </si>
  <si>
    <t>Power or weight when MPH is known</t>
  </si>
  <si>
    <t>Proper 1/4 mile gearing (manual transmission)</t>
  </si>
  <si>
    <t>Proper 1/4 mile gearing (automatic transmission)</t>
  </si>
  <si>
    <t xml:space="preserve">Actual gearing </t>
  </si>
  <si>
    <t>MPH in each gear at a given RPM (shift points)</t>
  </si>
  <si>
    <t>Ohm's Law</t>
  </si>
  <si>
    <t>Series circuits</t>
  </si>
  <si>
    <t>Parallel circuits</t>
  </si>
  <si>
    <t>Voltage drop across a device</t>
  </si>
  <si>
    <t>Speedometer check</t>
  </si>
  <si>
    <t>Odometer error percentage</t>
  </si>
  <si>
    <t>Fuel range</t>
  </si>
  <si>
    <t>Fuel consumption</t>
  </si>
  <si>
    <t>Average miles per hour</t>
  </si>
  <si>
    <t>Distance traveled</t>
  </si>
  <si>
    <t>Reading sidewall information</t>
  </si>
  <si>
    <t>Change in effective drive ratio after tire size change</t>
  </si>
  <si>
    <t>Equivalent drive ratio</t>
  </si>
  <si>
    <t>Speedometer correction after tire size change</t>
  </si>
  <si>
    <t>Index</t>
  </si>
  <si>
    <t>Bore (mm)</t>
  </si>
  <si>
    <t>Stroke (mm)</t>
  </si>
  <si>
    <t>Inlet Pressure (ABS)</t>
  </si>
  <si>
    <t>Outlet Pressure (ABS)</t>
  </si>
  <si>
    <t>Inlet Temp (F)</t>
  </si>
  <si>
    <t>Outlet Temperature (F)</t>
  </si>
  <si>
    <t>Intake charge temperature (Theoretical, assuming %100 adiabatic efficiency)</t>
  </si>
  <si>
    <t>Intake charge temperature (using actual compressor efficiency figures)</t>
  </si>
  <si>
    <t>Adiabatic Efficiency</t>
  </si>
  <si>
    <t>Actual outlet Temperature (F)</t>
  </si>
  <si>
    <t>altitude Ft.</t>
  </si>
  <si>
    <t>Air press. In.Hg</t>
  </si>
  <si>
    <t>Deg. F</t>
  </si>
  <si>
    <t>Deg. R</t>
  </si>
  <si>
    <t>theta</t>
  </si>
  <si>
    <t>Altitude chart</t>
  </si>
  <si>
    <t>Number of Cylinders</t>
  </si>
  <si>
    <t>Pressure ratio</t>
  </si>
  <si>
    <t>Compressor efficiency</t>
  </si>
  <si>
    <t>Density ratio</t>
  </si>
  <si>
    <t>Barometer</t>
  </si>
  <si>
    <t>engine size (Cu ft.)</t>
  </si>
  <si>
    <t>Ideal volume flow</t>
  </si>
  <si>
    <t>Manifold pressure (ABS)</t>
  </si>
  <si>
    <t>Inlet pressure (ABS)</t>
  </si>
  <si>
    <t xml:space="preserve"> inlet Temp (Absolute)</t>
  </si>
  <si>
    <t>Ideal temperature rise</t>
  </si>
  <si>
    <t>Ideal temp rise</t>
  </si>
  <si>
    <t>Actual temp rise</t>
  </si>
  <si>
    <t>Engine flow</t>
  </si>
  <si>
    <t>Actual compressor inlet flow (cfm)</t>
  </si>
  <si>
    <t>Custom Engine data</t>
  </si>
  <si>
    <t>First digit or two letters</t>
  </si>
  <si>
    <t>originally in</t>
  </si>
  <si>
    <t>year</t>
  </si>
  <si>
    <t>displacement</t>
  </si>
  <si>
    <t>remarks</t>
  </si>
  <si>
    <t>Code</t>
  </si>
  <si>
    <t>type</t>
  </si>
  <si>
    <t>engine</t>
  </si>
  <si>
    <t>40 HP</t>
  </si>
  <si>
    <t>Type 1</t>
  </si>
  <si>
    <t>FO</t>
  </si>
  <si>
    <t>HO</t>
  </si>
  <si>
    <t>TO</t>
  </si>
  <si>
    <t>H5</t>
  </si>
  <si>
    <t>B6</t>
  </si>
  <si>
    <t>AE</t>
  </si>
  <si>
    <t>AH</t>
  </si>
  <si>
    <t>AJ</t>
  </si>
  <si>
    <t>68 - 69</t>
  </si>
  <si>
    <t>71 - 72</t>
  </si>
  <si>
    <t>73 - 74</t>
  </si>
  <si>
    <t>8MM oil-pump studs</t>
  </si>
  <si>
    <t>dual-relief, single port</t>
  </si>
  <si>
    <t>8mm head studs w/case savers</t>
  </si>
  <si>
    <t>Fuel-injected, no fuel pump mount</t>
  </si>
  <si>
    <t>FI</t>
  </si>
  <si>
    <t>F2</t>
  </si>
  <si>
    <t>DO</t>
  </si>
  <si>
    <t>DI</t>
  </si>
  <si>
    <t>AB</t>
  </si>
  <si>
    <t>AD</t>
  </si>
  <si>
    <t>AK</t>
  </si>
  <si>
    <t>AM</t>
  </si>
  <si>
    <t>AS</t>
  </si>
  <si>
    <t>replacement</t>
  </si>
  <si>
    <t>13/1600</t>
  </si>
  <si>
    <t>15/1600</t>
  </si>
  <si>
    <t>66 - 79</t>
  </si>
  <si>
    <t>67 - 74</t>
  </si>
  <si>
    <t>Sometimes listed as Super Beetle original case. '73 - on</t>
  </si>
  <si>
    <t>Built since '73 in Mexico, Brazil, and Germany</t>
  </si>
  <si>
    <t>Sometimes a 40-HP part</t>
  </si>
  <si>
    <t>40-HP part when last digit is "X"</t>
  </si>
  <si>
    <t>Compression</t>
  </si>
  <si>
    <t>Torque</t>
  </si>
  <si>
    <t>57 @ 4000 RPM</t>
  </si>
  <si>
    <t>dual-relief, dual port; compression 7.3, HP 48 @ 4000 RPM after 8/71</t>
  </si>
  <si>
    <t>46 @ 4000 RPM</t>
  </si>
  <si>
    <t>48 @ 4200 RPM</t>
  </si>
  <si>
    <t>60 @ 4400 RPM</t>
  </si>
  <si>
    <t>18.7 ft.lb. @ 3000 RPM</t>
  </si>
  <si>
    <t>72.0 ft.lb. @ 2000 RPM</t>
  </si>
  <si>
    <t>73.1 ft.lb. @ 2800 RPM</t>
  </si>
  <si>
    <t>O</t>
  </si>
  <si>
    <t>H</t>
  </si>
  <si>
    <t>B5</t>
  </si>
  <si>
    <t>CB</t>
  </si>
  <si>
    <t>CD</t>
  </si>
  <si>
    <t>AW</t>
  </si>
  <si>
    <t>ED</t>
  </si>
  <si>
    <t>GD</t>
  </si>
  <si>
    <t>GE</t>
  </si>
  <si>
    <t>Early bus</t>
  </si>
  <si>
    <t>Based on 1200, no cam bearings</t>
  </si>
  <si>
    <t>66 - 67</t>
  </si>
  <si>
    <t>No crossmember holes</t>
  </si>
  <si>
    <t>68 - 70</t>
  </si>
  <si>
    <t>w/ crossmember holes</t>
  </si>
  <si>
    <t>72 - 73</t>
  </si>
  <si>
    <t>Late bus</t>
  </si>
  <si>
    <t>73 - 75</t>
  </si>
  <si>
    <t>Dual-carb, manual or auto; '75 fuel injected</t>
  </si>
  <si>
    <t>8mm oil-pump stud, single relief; '70 is dual relief</t>
  </si>
  <si>
    <t>76 - 79</t>
  </si>
  <si>
    <t>79 has Vanagon heads</t>
  </si>
  <si>
    <t>California only, Vanagon heads</t>
  </si>
  <si>
    <t>CV</t>
  </si>
  <si>
    <t>80 - 83</t>
  </si>
  <si>
    <t>Vanagon</t>
  </si>
  <si>
    <t>Unique case and heads</t>
  </si>
  <si>
    <t>63 - 65</t>
  </si>
  <si>
    <t>Type 3</t>
  </si>
  <si>
    <t xml:space="preserve">66 - 67 </t>
  </si>
  <si>
    <t>6mm oil-pump studs</t>
  </si>
  <si>
    <t>UO</t>
  </si>
  <si>
    <t>Fuel injected; '69 w/ crossmember holes, '70 dual-relief</t>
  </si>
  <si>
    <t>U5</t>
  </si>
  <si>
    <t>71 - 73</t>
  </si>
  <si>
    <t>Fuel injected w/ crossmember holes</t>
  </si>
  <si>
    <t>X</t>
  </si>
  <si>
    <t>65 @ 4600 RPM</t>
  </si>
  <si>
    <t>87 Ft. Lb. @ 2800 RPM</t>
  </si>
  <si>
    <t>50 @ 4600 RPM</t>
  </si>
  <si>
    <t>53 @ 4200 RPM</t>
  </si>
  <si>
    <t>78 ft.lb @ 2600 RPM</t>
  </si>
  <si>
    <t>69 ft.lb. @ 2600 RPM</t>
  </si>
  <si>
    <t>Codes</t>
  </si>
  <si>
    <t>Model</t>
  </si>
  <si>
    <t>AA</t>
  </si>
  <si>
    <t>AC</t>
  </si>
  <si>
    <t>AF</t>
  </si>
  <si>
    <t>AG</t>
  </si>
  <si>
    <t>AL</t>
  </si>
  <si>
    <t>AN</t>
  </si>
  <si>
    <t>AO</t>
  </si>
  <si>
    <t>AP</t>
  </si>
  <si>
    <t>AQ</t>
  </si>
  <si>
    <t>AR</t>
  </si>
  <si>
    <t>AT</t>
  </si>
  <si>
    <t>AU</t>
  </si>
  <si>
    <t>BA</t>
  </si>
  <si>
    <t>BC</t>
  </si>
  <si>
    <t>BE</t>
  </si>
  <si>
    <t>BF</t>
  </si>
  <si>
    <t>BG</t>
  </si>
  <si>
    <t>BH</t>
  </si>
  <si>
    <t>BJ</t>
  </si>
  <si>
    <t>BK</t>
  </si>
  <si>
    <t>DA</t>
  </si>
  <si>
    <t>DB</t>
  </si>
  <si>
    <t>DC</t>
  </si>
  <si>
    <t>DD</t>
  </si>
  <si>
    <t>13/1500</t>
  </si>
  <si>
    <t xml:space="preserve">R &amp; P </t>
  </si>
  <si>
    <t>From chassis No 0 981 810</t>
  </si>
  <si>
    <t>Up to 8/70</t>
  </si>
  <si>
    <t>Also some 1300 from 8/70</t>
  </si>
  <si>
    <t>Limited Slip Differential</t>
  </si>
  <si>
    <t>Limited Slip Differential up to 8/70; also some 1300 from 8/70</t>
  </si>
  <si>
    <t>Type 147 (Fridolin)</t>
  </si>
  <si>
    <t>IRS suspension from 8/68; 8/69 - 8/72</t>
  </si>
  <si>
    <t xml:space="preserve">Type 181 Trekker </t>
  </si>
  <si>
    <t xml:space="preserve">Type 181 with limited slip </t>
  </si>
  <si>
    <t>Sedan and Conv. From 8/70</t>
  </si>
  <si>
    <t>KG with IRS from 8/70</t>
  </si>
  <si>
    <t>Karmann Ghia from 8/70</t>
  </si>
  <si>
    <t>Limited Slip Diff from 8/70</t>
  </si>
  <si>
    <t>Limited Slip Diff 8/70 - 8/72</t>
  </si>
  <si>
    <t>KG with Limited Slip from 8/70</t>
  </si>
  <si>
    <t>Type 1 from 8/72</t>
  </si>
  <si>
    <t>1303S and Conv. From 8/72</t>
  </si>
  <si>
    <t>1303S and Conv. From 8/72, with Limited Slip</t>
  </si>
  <si>
    <t>Semi-automatic from 8/68 - 8/70</t>
  </si>
  <si>
    <t>Semi-automatic from 8/68 - 8/70, with Limited Slip</t>
  </si>
  <si>
    <t>Semi-automatic from 8/70 - 8/71</t>
  </si>
  <si>
    <t>Semi-automatic from 8/70 - 8/71, with Limited Slip</t>
  </si>
  <si>
    <t>KG Semi-automatic from 8/70</t>
  </si>
  <si>
    <t>KG Semi-automatic from 8/70, with Limited Slip</t>
  </si>
  <si>
    <t>Semi-automatic from 8/70</t>
  </si>
  <si>
    <t>Semi-automatic from 8/70, with Limited Slip</t>
  </si>
  <si>
    <t>Type 3 with IRS from 8/68</t>
  </si>
  <si>
    <t>Type 3 with IRS from 8/68, with Limited Slip</t>
  </si>
  <si>
    <t>Stock VW transaxle info finder</t>
  </si>
  <si>
    <t>Trans code</t>
  </si>
  <si>
    <t>R &amp; P ratio</t>
  </si>
  <si>
    <t>Remarks</t>
  </si>
  <si>
    <t>Engine used with</t>
  </si>
  <si>
    <t>Driveshaft torque (Bonus formula, not for VW's!)</t>
  </si>
  <si>
    <t>Trans Description</t>
  </si>
  <si>
    <t>1st gear</t>
  </si>
  <si>
    <t>2nd gear</t>
  </si>
  <si>
    <t>3rd gear</t>
  </si>
  <si>
    <t>4th gear</t>
  </si>
  <si>
    <t>Early split-case</t>
  </si>
  <si>
    <t>Late split-case</t>
  </si>
  <si>
    <t>dc</t>
  </si>
  <si>
    <t>Full synchro (pre 1966)</t>
  </si>
  <si>
    <t>Full synchro (post 1966)</t>
  </si>
  <si>
    <t>Full synchro (after 1972)</t>
  </si>
  <si>
    <t>4.43 or 4.37</t>
  </si>
  <si>
    <t>Final Drive</t>
  </si>
  <si>
    <t>1.32*</t>
  </si>
  <si>
    <t>.89*</t>
  </si>
  <si>
    <t>4.375*</t>
  </si>
  <si>
    <t>Notes</t>
  </si>
  <si>
    <t>*3rd gear 1.26 from chassis no. 116 021 298, 4th gear .93 from chassis no. 113 000 001</t>
  </si>
  <si>
    <t>*4th gear .93 from chassis no 113 000 001, final drive 4.125 for 1600 engine, 3.875 for some 1600 &amp; Karmann Ghias</t>
  </si>
  <si>
    <t>Gear ratio information by transmission</t>
  </si>
  <si>
    <t>Type 3 swingaxle up to 8/68, reinforced design optional (M263)</t>
  </si>
  <si>
    <t>Type 3 swingaxle up to 8/68, with Limited Slip, reinforced design optional (M263)</t>
  </si>
  <si>
    <t>Air press. PSI</t>
  </si>
  <si>
    <t>Intermediate formulas that don't require input are pastel green</t>
  </si>
  <si>
    <t>Reference charts and data are bright green (and typically far away from the formulae to avoid confusion)</t>
  </si>
  <si>
    <t>Carburetor selection (racing) in CFM</t>
  </si>
  <si>
    <t>Carburetor selection (street) in CFM</t>
  </si>
  <si>
    <t xml:space="preserve">Whenever possible, I have biased the formulas toward metric variables, to make this as VW-friendly as possible. </t>
  </si>
  <si>
    <t xml:space="preserve">This is a collection of formulas that should be of concern to any serious automobile enthusiast.  I have </t>
  </si>
  <si>
    <t xml:space="preserve">compiled these formulas from various reference books that I have collected, most notably the "Auto Math </t>
  </si>
  <si>
    <t xml:space="preserve">handbook" by John Lawlor (HP BOOKS, ISBN 1-55788-020-4).  I cannot accept any credit for these formulas,  </t>
  </si>
  <si>
    <t>except for putting them into this hopefully easily useable format and testing each one.  Please keep in mind</t>
  </si>
  <si>
    <t xml:space="preserve"> that any results of formulas contained in this sheet are THEORETICAL and may not necessarily reflect </t>
  </si>
  <si>
    <t>how an actual vehicle or engine will perform.</t>
  </si>
  <si>
    <t>Final answers are shaded light blue</t>
  </si>
  <si>
    <t>Version 1.2, added reference charts, Stock engine lookup tool, VW transaxle data and lookup tool, Turbocharging formulas and data. (1-5-98)</t>
  </si>
  <si>
    <t>Wire size selection tool</t>
  </si>
  <si>
    <t>VW engine case identifier tool</t>
  </si>
  <si>
    <t>Displacement per cylinder</t>
  </si>
  <si>
    <t>Max. RPM</t>
  </si>
  <si>
    <t>Recommended venturi (mm)</t>
  </si>
  <si>
    <t>Ft.Lbs. At</t>
  </si>
  <si>
    <t>Engine size (C.I.)</t>
  </si>
  <si>
    <t>Engine type (2 or 4 stroke)</t>
  </si>
  <si>
    <t>Max rpm</t>
  </si>
  <si>
    <t>Max boost</t>
  </si>
  <si>
    <t>Ambient T</t>
  </si>
  <si>
    <t>Maximum RPM</t>
  </si>
  <si>
    <t>Engine size (converted to cubic inches)</t>
  </si>
  <si>
    <t>PSI (gauge)</t>
  </si>
  <si>
    <t>In degrees Fahrenheit</t>
  </si>
  <si>
    <t>Degrees Rankin</t>
  </si>
  <si>
    <t>Charge air temp</t>
  </si>
  <si>
    <t>Cooling media temperature</t>
  </si>
  <si>
    <t>Efficiency required</t>
  </si>
  <si>
    <t>Desired outlet temperature</t>
  </si>
  <si>
    <t>degrees F</t>
  </si>
  <si>
    <t xml:space="preserve">These formulas are also a companion to Hugh MacInnes "Turbocharging" referred to on the </t>
  </si>
  <si>
    <t>Turbocharger matching tool sheet.  These formulas are from Chapter 11, Intercooling.</t>
  </si>
  <si>
    <t>Know the efficiency?  Here's what the temperature drop should be.</t>
  </si>
  <si>
    <t>Intercooler outlet temperature</t>
  </si>
  <si>
    <t xml:space="preserve">Boost </t>
  </si>
  <si>
    <t>Ambient Temp</t>
  </si>
  <si>
    <t>PSI (absolute)</t>
  </si>
  <si>
    <t>Compressor pressure ratio</t>
  </si>
  <si>
    <t>Compressor discharge temp.</t>
  </si>
  <si>
    <t>Intercooler efficiency</t>
  </si>
  <si>
    <t>Intercooler outlet temp</t>
  </si>
  <si>
    <t>Density increase due to cooling effect of intercooler</t>
  </si>
  <si>
    <t>Intercooler pressure drop</t>
  </si>
  <si>
    <t>Efficiency of intercooler</t>
  </si>
  <si>
    <t>Thread</t>
  </si>
  <si>
    <t>Thread pitch</t>
  </si>
  <si>
    <t>Drill size</t>
  </si>
  <si>
    <t>Decimal equivalent (inch)</t>
  </si>
  <si>
    <t>threads per inch</t>
  </si>
  <si>
    <t>tap drill</t>
  </si>
  <si>
    <t>decimal</t>
  </si>
  <si>
    <t>fine or coarse</t>
  </si>
  <si>
    <t>fine</t>
  </si>
  <si>
    <t>coarse</t>
  </si>
  <si>
    <t>* Notice that the sum of voltage drops in a system have to equal the input voltage!</t>
  </si>
  <si>
    <t>Automotive mathematics workbook</t>
  </si>
  <si>
    <t>Front / rear weight distribution</t>
  </si>
  <si>
    <t>Power or weight when ET is known</t>
  </si>
  <si>
    <t>Lap time Vs speed</t>
  </si>
  <si>
    <t>Dual-carb, manual Trans</t>
  </si>
  <si>
    <t>Dual-carb, auto Trans</t>
  </si>
  <si>
    <t xml:space="preserve">Match this figure to the turbo mfg.'s compressor map </t>
  </si>
  <si>
    <t>Weight transfer (Lbs.)</t>
  </si>
  <si>
    <t>Pressure (PSI)</t>
  </si>
  <si>
    <t>Theoretical ET (1/4 mile)</t>
  </si>
  <si>
    <t xml:space="preserve">Distance traveled </t>
  </si>
  <si>
    <t>Case identifier - use this to determine the stock specifications of your engine</t>
  </si>
  <si>
    <t>Bore - piston diameter (mm)</t>
  </si>
  <si>
    <t>Stroke - crankshaft throw, stock is 69MM (mm)</t>
  </si>
  <si>
    <t>Deck height - distance from top of piston at TDC to cylinder end (mm)</t>
  </si>
  <si>
    <t>Combustion chamber cc's - volume of cylinder head valve area</t>
  </si>
  <si>
    <t>Flywheel torque - maximum torque measured at crankshaft</t>
  </si>
  <si>
    <t>Wheelbase - distance between front and wheel centerlines (inches)</t>
  </si>
  <si>
    <t>Track - distance between centerlines of left and right wheels</t>
  </si>
  <si>
    <t>Rolling radius - distance between centerline of wheel to ground with car on ground,</t>
  </si>
  <si>
    <t xml:space="preserve"> tires properly inflated</t>
  </si>
  <si>
    <t>(Cubic Inches)</t>
  </si>
  <si>
    <t xml:space="preserve">Displacement using metric measurements - whole engine </t>
  </si>
  <si>
    <t>Auto-insert result ----&gt;</t>
  </si>
  <si>
    <t>capacity of an engine viewed as an "air pump".</t>
  </si>
  <si>
    <r>
      <t>Volumetric Effiecincy (VE)</t>
    </r>
    <r>
      <rPr>
        <sz val="10"/>
        <rFont val="Arial"/>
        <family val="0"/>
      </rPr>
      <t xml:space="preserve"> - The relationship between the theoretical capacity and the actual airflow</t>
    </r>
  </si>
  <si>
    <t xml:space="preserve">Engine air capacity (Volumetric efficiency)at RPM of highest torque </t>
  </si>
  <si>
    <t>Volumetric Efficiency definition</t>
  </si>
  <si>
    <t>Carburetor selection (returns venturi diameter in MM) - RPM here is of maximum torque</t>
  </si>
  <si>
    <t>NOTE: 85% is considered to be average for a high performance street engine</t>
  </si>
  <si>
    <t>NOTE: 110% is possible only with a VERY highly tuned racing engine</t>
  </si>
  <si>
    <t>Carburetor selection (RACING engine, 110% Volumetric efficiency assumed)</t>
  </si>
  <si>
    <t xml:space="preserve">Carburetor selection (STREET engine, 85% Volumetric efficiency assumed) </t>
  </si>
  <si>
    <t>Deck Height displacement - The volume of the area above the piston at TDC, assuming flat-topped pistons</t>
  </si>
  <si>
    <t xml:space="preserve">Auto-insert puts your data into formulas automatically in gold </t>
  </si>
  <si>
    <t>Version 1.3, cleaned things up and defined formulas better, added Glossary, added gold Auto-insert variables and manual input option to all formulas (1-29-98)</t>
  </si>
  <si>
    <t>Y = ((pressure ratio) E+.283) - 1)</t>
  </si>
  <si>
    <t>The base data you have previously entered is below for your reference.</t>
  </si>
  <si>
    <t>Actual temperature rise in degrees F</t>
  </si>
  <si>
    <t>Intake manifold temp (actual Temp. rise + ambient Temp.)</t>
  </si>
  <si>
    <t>Actual Volume flow (at 80% efficiency)</t>
  </si>
  <si>
    <t>Heat exchanger efficiency needed to effect a desired temperature reduction</t>
  </si>
  <si>
    <t>Computing charge air temperature at outlet of intercooler</t>
  </si>
  <si>
    <t>Please note the differences between</t>
  </si>
  <si>
    <t>Guage pressure (PSI) and</t>
  </si>
  <si>
    <t>Absolute Pressure.</t>
  </si>
  <si>
    <t>a complete vacuum.</t>
  </si>
  <si>
    <r>
      <t>Absolute Pressure</t>
    </r>
    <r>
      <rPr>
        <sz val="10"/>
        <rFont val="Arial"/>
        <family val="0"/>
      </rPr>
      <t xml:space="preserve"> - As defined in "Turbocharging", by Hugh MacInnes, the pressure measured above </t>
    </r>
  </si>
  <si>
    <r>
      <t>Guage Pressure</t>
    </r>
    <r>
      <rPr>
        <sz val="10"/>
        <rFont val="Arial"/>
        <family val="0"/>
      </rPr>
      <t xml:space="preserve"> - Pressure differential measured between two places, usually between ambient </t>
    </r>
  </si>
  <si>
    <t>pressure and manifold pressure.</t>
  </si>
  <si>
    <t>"g" Force</t>
  </si>
  <si>
    <t>Gear ratios for stock VW transaxles can be found in the chart to the right.</t>
  </si>
  <si>
    <t>"g" Force (forward acceleration)</t>
  </si>
  <si>
    <t>Center of Gravity vertical location (height from ground)</t>
  </si>
  <si>
    <t>Level wheelbase</t>
  </si>
  <si>
    <t>Raised Wheelbase</t>
  </si>
  <si>
    <t>Distance raised (inches)</t>
  </si>
  <si>
    <t>scale reading (front)</t>
  </si>
  <si>
    <t>scale reading (rear)</t>
  </si>
  <si>
    <t xml:space="preserve">Added weight </t>
  </si>
  <si>
    <t>Front weight</t>
  </si>
  <si>
    <t>Rear weight</t>
  </si>
  <si>
    <t>Piston area (Sq.In.)</t>
  </si>
  <si>
    <t>Force applied (Lbs)</t>
  </si>
  <si>
    <t>Force applied to piston 1 (Lbs.)</t>
  </si>
  <si>
    <t>Piston 1 area (Sq.In.)</t>
  </si>
  <si>
    <t>Piston 2 area (Sq.In.)</t>
  </si>
  <si>
    <t>Force on piston 2 (Lbs.)</t>
  </si>
  <si>
    <t>Movement of piston (inches)</t>
  </si>
  <si>
    <t>Piston 1 movement (inches)</t>
  </si>
  <si>
    <t>Piston 2 movement (inches)</t>
  </si>
  <si>
    <t>Tire size numbers from sidewall (Example: 235/75 R15)</t>
  </si>
  <si>
    <t>Vehicle Weight - if different from base data:</t>
  </si>
  <si>
    <t>Front %</t>
  </si>
  <si>
    <t>Rear %</t>
  </si>
  <si>
    <t>Left %</t>
  </si>
  <si>
    <t>Right %</t>
  </si>
  <si>
    <t>cg location off-center on heavy side (Inches)</t>
  </si>
  <si>
    <t>CG Vertical location (inches)</t>
  </si>
  <si>
    <t>Lateral weight transfer (g)</t>
  </si>
  <si>
    <t xml:space="preserve">Theoretical Elapsed time </t>
  </si>
  <si>
    <t>Theoretical Power or Weight from ET</t>
  </si>
  <si>
    <t>Theoretical Miles Per Hour</t>
  </si>
  <si>
    <t>Theoretical Power or Weight from MPH</t>
  </si>
  <si>
    <t>Theoretical Weight</t>
  </si>
  <si>
    <t>Theoretical HP</t>
  </si>
  <si>
    <t>Theoretical MPH</t>
  </si>
  <si>
    <t>Bibliography</t>
  </si>
  <si>
    <t>1.  Auto Math Handbook, by John Lawlor   1992, HP Books, ISBN 1-55788-020-4</t>
  </si>
  <si>
    <t>2.  Turbochargers, by Hugh MacInnes  1984, HP Books, ISBN 0-89586-135-6</t>
  </si>
  <si>
    <t>3.  Automotive Electrical Handbook, by Jim Horner  1986, HP Books, ISBN 0-89586-238-7</t>
  </si>
  <si>
    <t>4.  Brake Handbook, by Fred Puhn  1985, HP Books, ISBN 0-89586-232-8</t>
  </si>
  <si>
    <t>5.  VolksWorld Magazine, October 1997 issue, Link House Magazines Ltd., Croydon, U.K.</t>
  </si>
  <si>
    <t>6.  Dune Buggies and Hot VWs Magazine, Wright Publishing Co., Costa Mesa, Ca, USA</t>
  </si>
  <si>
    <t>7.  Pocket Ref, by Thomas J. Glover  1994, Sequoia Publishing, Inc., Littleton, Co, USA</t>
  </si>
  <si>
    <t xml:space="preserve">These formulas are most practical if you are building a NEW braking system, like for a dune buggy or a  </t>
  </si>
  <si>
    <t>Racing Vehicle.</t>
  </si>
  <si>
    <t>These formulas are good if you are planning on having a new transaxle built, or if you just want</t>
  </si>
  <si>
    <t xml:space="preserve">to compare how different gear ratios affect performance.  Toby Erkson has made a good graphical </t>
  </si>
  <si>
    <t xml:space="preserve">representation of these formulas using the charting features of Excel that can be downloaded from </t>
  </si>
  <si>
    <t xml:space="preserve">These formulas are used to determine the weight distribution of a vehicle and the physical location of the   </t>
  </si>
  <si>
    <r>
      <t xml:space="preserve">center of gravity within the car.  The formulas accompany the "Auto Math handbook" referenced in the </t>
    </r>
    <r>
      <rPr>
        <sz val="12"/>
        <rFont val="Arial"/>
        <family val="2"/>
      </rPr>
      <t xml:space="preserve"> </t>
    </r>
  </si>
  <si>
    <t xml:space="preserve">vehicle weight at each corner to get the data needed for these formulas.  The method used to locate the </t>
  </si>
  <si>
    <r>
      <t>introduction.</t>
    </r>
    <r>
      <rPr>
        <sz val="12"/>
        <color indexed="10"/>
        <rFont val="Arial"/>
        <family val="2"/>
      </rPr>
      <t xml:space="preserve">  It will be necessary to have at least a pair of scales capable of measuring 1/4 of the total </t>
    </r>
  </si>
  <si>
    <t xml:space="preserve">Vertical location of the C.G. will require "locking" the suspension, changing tire pressures, and jacking each  </t>
  </si>
  <si>
    <t xml:space="preserve">end of the car to a height of approximately 24 inches while it is on the scales.  I would not recommend trying  </t>
  </si>
  <si>
    <t>these formulas without the book, as it is too elaborate a procedure to explain how to do safely here.</t>
  </si>
  <si>
    <t xml:space="preserve">This tool will allow you to calculate what the Compressor-inlet flow of your engine will be with the specific </t>
  </si>
  <si>
    <t xml:space="preserve">parameters you enter.  This goes with the series of calculations illustrated beginning on page 36 of Hugh </t>
  </si>
  <si>
    <t>MacInnes' "Turbochargers".</t>
  </si>
  <si>
    <t>Version 1.4, liked Toby Erkson's "flyover notes" so much, I had to add them.  Also revised some formulas for more flexibility and ease of use.  Added cheesy, hastily modified icon on a whim - you'll have to figure out how to implement it yourself until I figure out how to include it properly.</t>
  </si>
  <si>
    <t xml:space="preserve">Version 1.5, added connecting rod ratio formula, </t>
  </si>
  <si>
    <t>Connecting rod length (mm)</t>
  </si>
  <si>
    <t>Connecting rod ratio</t>
  </si>
  <si>
    <t>Rod Ratio</t>
  </si>
  <si>
    <t>uo</t>
  </si>
  <si>
    <t>#53</t>
  </si>
  <si>
    <t>#50</t>
  </si>
  <si>
    <t>#47</t>
  </si>
  <si>
    <t>#43</t>
  </si>
  <si>
    <t>#38</t>
  </si>
  <si>
    <t>#36</t>
  </si>
  <si>
    <t>#29</t>
  </si>
  <si>
    <t>#26</t>
  </si>
  <si>
    <t>#25</t>
  </si>
  <si>
    <t>#16</t>
  </si>
  <si>
    <t>#7</t>
  </si>
  <si>
    <t>"F"</t>
  </si>
  <si>
    <t>"U"</t>
  </si>
  <si>
    <t>#45</t>
  </si>
  <si>
    <t>#42</t>
  </si>
  <si>
    <t>#37</t>
  </si>
  <si>
    <t>#33</t>
  </si>
  <si>
    <t>#22</t>
  </si>
  <si>
    <t>#21</t>
  </si>
  <si>
    <t>#14</t>
  </si>
  <si>
    <t>#3</t>
  </si>
  <si>
    <t>"I"</t>
  </si>
  <si>
    <t>"Q"</t>
  </si>
  <si>
    <t>M2</t>
  </si>
  <si>
    <t>M3</t>
  </si>
  <si>
    <t>M4</t>
  </si>
  <si>
    <t>M5</t>
  </si>
  <si>
    <t>M6</t>
  </si>
  <si>
    <t>M7</t>
  </si>
  <si>
    <t>M8</t>
  </si>
  <si>
    <t>M9</t>
  </si>
  <si>
    <t>M10</t>
  </si>
  <si>
    <t>M11</t>
  </si>
  <si>
    <t>M12</t>
  </si>
  <si>
    <t>M14</t>
  </si>
  <si>
    <t>M16</t>
  </si>
  <si>
    <t>M18</t>
  </si>
  <si>
    <t>M20</t>
  </si>
  <si>
    <t>M22</t>
  </si>
  <si>
    <t>M24</t>
  </si>
  <si>
    <t>M27</t>
  </si>
  <si>
    <t>M30</t>
  </si>
  <si>
    <t>M33</t>
  </si>
  <si>
    <t>M36</t>
  </si>
  <si>
    <t>M39</t>
  </si>
  <si>
    <t>M42</t>
  </si>
  <si>
    <t>M3.5</t>
  </si>
  <si>
    <t>M4.5</t>
  </si>
  <si>
    <t>M5.5</t>
  </si>
  <si>
    <t>M2.3</t>
  </si>
  <si>
    <t>M2.6</t>
  </si>
  <si>
    <t>SAE Tap Drill finder - Finally available!</t>
  </si>
  <si>
    <t>Metric Tap Drill finder, Too!</t>
  </si>
  <si>
    <t>Thread diameter (MM)</t>
  </si>
  <si>
    <t>Pitch</t>
  </si>
  <si>
    <t>Decimal equivalent</t>
  </si>
  <si>
    <t>Drill size (MM)</t>
  </si>
  <si>
    <t>Thread diameter</t>
  </si>
  <si>
    <t>enter as "M"X, where X is the diameter</t>
  </si>
  <si>
    <t>m5</t>
  </si>
  <si>
    <t>Drill size (closest inch)</t>
  </si>
  <si>
    <t>Dec. Equivalent</t>
  </si>
  <si>
    <t>MM drill</t>
  </si>
  <si>
    <t>Inch drill</t>
  </si>
  <si>
    <t>Version 2.0, Finally finished figuring out the "Tap drill finder" tool on the shop formulas page. (6-23-98)</t>
  </si>
  <si>
    <t>"60" means the tire sidewall is 60% as tall as the tread is wide.</t>
  </si>
  <si>
    <t>Aspect Ratio Definition</t>
  </si>
  <si>
    <t>Version 2.0 by Jake Kooser</t>
  </si>
  <si>
    <t>Terminal designations as defined by Bosch in "Automotive Handbook" 4th Edition.</t>
  </si>
  <si>
    <t>It is important to note that these designations identify the terminating connector, not the</t>
  </si>
  <si>
    <t>conductor or wire they are connected by.  A list of all terminal designations is given in DIN 72552.</t>
  </si>
  <si>
    <t>The terminal designations used here are examples given by Bosch.</t>
  </si>
  <si>
    <t>Terminal #</t>
  </si>
  <si>
    <t>Definition</t>
  </si>
  <si>
    <t>1a</t>
  </si>
  <si>
    <t>1b</t>
  </si>
  <si>
    <t>System / group</t>
  </si>
  <si>
    <t>Ignition Coil, Ignition Distributor</t>
  </si>
  <si>
    <t>4a</t>
  </si>
  <si>
    <t>4b</t>
  </si>
  <si>
    <t>15a</t>
  </si>
  <si>
    <t>30a</t>
  </si>
  <si>
    <t>31b</t>
  </si>
  <si>
    <t>31a</t>
  </si>
  <si>
    <t>31c</t>
  </si>
  <si>
    <t>33a</t>
  </si>
  <si>
    <t>33b</t>
  </si>
  <si>
    <t>33f</t>
  </si>
  <si>
    <t>33g</t>
  </si>
  <si>
    <t>33h</t>
  </si>
  <si>
    <t>33L</t>
  </si>
  <si>
    <t>33R</t>
  </si>
  <si>
    <t>45a</t>
  </si>
  <si>
    <t>45b</t>
  </si>
  <si>
    <t>49a</t>
  </si>
  <si>
    <t>49b</t>
  </si>
  <si>
    <t>49c</t>
  </si>
  <si>
    <t>50 a</t>
  </si>
  <si>
    <t>50 b</t>
  </si>
  <si>
    <t>50c</t>
  </si>
  <si>
    <t>50d</t>
  </si>
  <si>
    <t>50e</t>
  </si>
  <si>
    <t>50f</t>
  </si>
  <si>
    <t>50g</t>
  </si>
  <si>
    <t>50h</t>
  </si>
  <si>
    <t>53a</t>
  </si>
  <si>
    <t>53b</t>
  </si>
  <si>
    <t>53c</t>
  </si>
  <si>
    <t>53e</t>
  </si>
  <si>
    <t>53i</t>
  </si>
  <si>
    <t>56a</t>
  </si>
  <si>
    <t>56b</t>
  </si>
  <si>
    <t>56d</t>
  </si>
  <si>
    <t>57a</t>
  </si>
  <si>
    <t>57L</t>
  </si>
  <si>
    <t>57R</t>
  </si>
  <si>
    <t>58L</t>
  </si>
  <si>
    <t>58R</t>
  </si>
  <si>
    <t>B+</t>
  </si>
  <si>
    <t>B-</t>
  </si>
  <si>
    <t>D+</t>
  </si>
  <si>
    <t>D-</t>
  </si>
  <si>
    <t>DF</t>
  </si>
  <si>
    <t>DF1</t>
  </si>
  <si>
    <t>DF2</t>
  </si>
  <si>
    <t>U,V,W</t>
  </si>
  <si>
    <t>81a</t>
  </si>
  <si>
    <t>81b</t>
  </si>
  <si>
    <t>82a</t>
  </si>
  <si>
    <t>82b</t>
  </si>
  <si>
    <t>82z</t>
  </si>
  <si>
    <t>82y</t>
  </si>
  <si>
    <t>83a</t>
  </si>
  <si>
    <t>83b</t>
  </si>
  <si>
    <t>83L</t>
  </si>
  <si>
    <t>83R</t>
  </si>
  <si>
    <t>84a</t>
  </si>
  <si>
    <t>84b</t>
  </si>
  <si>
    <t>86a</t>
  </si>
  <si>
    <t>86b</t>
  </si>
  <si>
    <t>87a</t>
  </si>
  <si>
    <t>87b</t>
  </si>
  <si>
    <t>87c</t>
  </si>
  <si>
    <t>87z</t>
  </si>
  <si>
    <t>87y</t>
  </si>
  <si>
    <t>87x</t>
  </si>
  <si>
    <t>88a</t>
  </si>
  <si>
    <t>88b</t>
  </si>
  <si>
    <t>88c</t>
  </si>
  <si>
    <t>88z</t>
  </si>
  <si>
    <t>88y</t>
  </si>
  <si>
    <t>88x</t>
  </si>
  <si>
    <t>C</t>
  </si>
  <si>
    <t>C0</t>
  </si>
  <si>
    <t>C2</t>
  </si>
  <si>
    <t>C3</t>
  </si>
  <si>
    <t>L</t>
  </si>
  <si>
    <t>R</t>
  </si>
  <si>
    <t>Low voltage</t>
  </si>
  <si>
    <t>To contact breaker I</t>
  </si>
  <si>
    <t>To contact breaker II</t>
  </si>
  <si>
    <t>High voltage</t>
  </si>
  <si>
    <t>From ignition coil I</t>
  </si>
  <si>
    <t>From ignition coil II</t>
  </si>
  <si>
    <t>Switched (+) downstream of battery (output of ignition / driving switch)</t>
  </si>
  <si>
    <t>Output at ballast resistor to ignition coil and starter</t>
  </si>
  <si>
    <t>Start</t>
  </si>
  <si>
    <t>Preheat</t>
  </si>
  <si>
    <t>Glow plug and starter switch</t>
  </si>
  <si>
    <t>Battery</t>
  </si>
  <si>
    <t>Input from battery (+) terminal, direct</t>
  </si>
  <si>
    <t>Input from (+) terminal of battery II</t>
  </si>
  <si>
    <t>Return line from battery, battery negative terminal, or ground, direct</t>
  </si>
  <si>
    <t>Return line to battery II, negative</t>
  </si>
  <si>
    <t>Return line to battery, battery negative terminal, or ground via switch or relay (switched negative)</t>
  </si>
  <si>
    <t>Return line to battery I, negative</t>
  </si>
  <si>
    <t>Electric motors</t>
  </si>
  <si>
    <t>Return line</t>
  </si>
  <si>
    <t>Main terminal connection</t>
  </si>
  <si>
    <t>Self-parking switch-off</t>
  </si>
  <si>
    <t>Shunt field</t>
  </si>
  <si>
    <t>For second lower-speed range</t>
  </si>
  <si>
    <t>For third lower-speed range</t>
  </si>
  <si>
    <t>For fourth lower-speed range</t>
  </si>
  <si>
    <t>Counterclockwise rotation</t>
  </si>
  <si>
    <t>Clockwise rotation</t>
  </si>
  <si>
    <t>Starters</t>
  </si>
  <si>
    <t>Separate starter relay, output; starter, input (main current)</t>
  </si>
  <si>
    <t>Output, starter I / Input starters I and II</t>
  </si>
  <si>
    <t>Output, starter II</t>
  </si>
  <si>
    <t>Terminal on starter and on start-repeating relay for monitoring starting procedure</t>
  </si>
  <si>
    <t>Turn-signal flashers</t>
  </si>
  <si>
    <t>Input</t>
  </si>
  <si>
    <t>Output</t>
  </si>
  <si>
    <t>Output, second turn-signal circuit</t>
  </si>
  <si>
    <t>Output, third turn-signal circuit</t>
  </si>
  <si>
    <t>Starter control (direct)</t>
  </si>
  <si>
    <t>Series-parallel battery switch Output for starter control</t>
  </si>
  <si>
    <t>Starter control with parallel operation of two starters with sequential control</t>
  </si>
  <si>
    <t>Input at starting relay for starter I</t>
  </si>
  <si>
    <t>Input at starting relay for starter II</t>
  </si>
  <si>
    <t>Start-repeating relay input</t>
  </si>
  <si>
    <t>Start-repeating relay output</t>
  </si>
  <si>
    <t>Wiper motors</t>
  </si>
  <si>
    <t>Wiper motor, input (+)</t>
  </si>
  <si>
    <t>Wiper (+), self-parking switch-off</t>
  </si>
  <si>
    <t>Wiper (shunt winding)</t>
  </si>
  <si>
    <t>Electric windshield-washer pump</t>
  </si>
  <si>
    <t>Wiper (brake winding)</t>
  </si>
  <si>
    <t>Wiper motor with permanent magnet and third brush (for higher speed)</t>
  </si>
  <si>
    <t>Lighting</t>
  </si>
  <si>
    <t>Fog lamp</t>
  </si>
  <si>
    <t>Headlamp</t>
  </si>
  <si>
    <t>High beam, high-beam indicator lamp</t>
  </si>
  <si>
    <t>Low beam</t>
  </si>
  <si>
    <t>Headlamp-flasher contact</t>
  </si>
  <si>
    <t>Parking lamp</t>
  </si>
  <si>
    <t>Parking lamp, left</t>
  </si>
  <si>
    <t>Parking lamp, right</t>
  </si>
  <si>
    <t>Side-marker lamps, tail lamps, license-plate lamps and instrument-panel lamps</t>
  </si>
  <si>
    <t>License plate lamp, left</t>
  </si>
  <si>
    <t>License plate lamp, right</t>
  </si>
  <si>
    <t>Alternators and voltage regulators</t>
  </si>
  <si>
    <t>Alternator charge-indicator lamp</t>
  </si>
  <si>
    <t>Battery positive</t>
  </si>
  <si>
    <t>Battery negative</t>
  </si>
  <si>
    <t>Dynamo positive</t>
  </si>
  <si>
    <t>Dynamo negative</t>
  </si>
  <si>
    <t>Dynamo field</t>
  </si>
  <si>
    <t>Dynamo field 1</t>
  </si>
  <si>
    <t>Dynamo field 2</t>
  </si>
  <si>
    <t>Alternator terminals</t>
  </si>
  <si>
    <t>Acoustics</t>
  </si>
  <si>
    <t>Radio, cigarette lighter</t>
  </si>
  <si>
    <t>Speakers</t>
  </si>
  <si>
    <t>Switches</t>
  </si>
  <si>
    <t>Break-contact (NC) and changover switches Input</t>
  </si>
  <si>
    <t>Output 1, NC side</t>
  </si>
  <si>
    <t>Output 2, NC side</t>
  </si>
  <si>
    <t>Make-contact (NO) switches Input</t>
  </si>
  <si>
    <t xml:space="preserve">Output 1 </t>
  </si>
  <si>
    <t xml:space="preserve">Output 2 </t>
  </si>
  <si>
    <t>Input 1</t>
  </si>
  <si>
    <t>Input 2</t>
  </si>
  <si>
    <t>Multiple-position switches, Input</t>
  </si>
  <si>
    <t>Output, position 1</t>
  </si>
  <si>
    <t xml:space="preserve">Output, position 2 </t>
  </si>
  <si>
    <t>Output, left-hand position</t>
  </si>
  <si>
    <t>Output, right-hand position</t>
  </si>
  <si>
    <t>Current relays</t>
  </si>
  <si>
    <t>Output, actuator</t>
  </si>
  <si>
    <t>Output, relay contact</t>
  </si>
  <si>
    <t>Input, actuator and relay contact</t>
  </si>
  <si>
    <t>Switching relays</t>
  </si>
  <si>
    <t>Output, actuator (end of winding to ground or negative)</t>
  </si>
  <si>
    <t>Input, actuator (start of winding)</t>
  </si>
  <si>
    <t>Start of winding or 1st winding</t>
  </si>
  <si>
    <t>Winding tap or 2nd winding</t>
  </si>
  <si>
    <t>Input relay contact for break (NC) and changeover contacts</t>
  </si>
  <si>
    <t>Output 1 (NC side)</t>
  </si>
  <si>
    <t>Output 2</t>
  </si>
  <si>
    <t>Output 3</t>
  </si>
  <si>
    <t>Input 3</t>
  </si>
  <si>
    <t>Relay contact for make (NO) contact Input</t>
  </si>
  <si>
    <t>Output 1</t>
  </si>
  <si>
    <t>Relay contact for make (NO) and changeover contacts (make side):</t>
  </si>
  <si>
    <t>Directional signals (turn-signal flashers)</t>
  </si>
  <si>
    <t>Indicator lamp 1</t>
  </si>
  <si>
    <t>Main terminal connection for separate indicator circuits actuated by the turn-signal switch</t>
  </si>
  <si>
    <t>Indicator lamp 2</t>
  </si>
  <si>
    <t>Indicator lamp 3</t>
  </si>
  <si>
    <t>Turn-signal lamps, left</t>
  </si>
  <si>
    <t>Turn-signal lamps, right</t>
  </si>
  <si>
    <t>Quick-answer terminal lookup tool</t>
  </si>
  <si>
    <t>Terminal number</t>
  </si>
  <si>
    <t>where it goes</t>
  </si>
  <si>
    <t>what it does</t>
  </si>
  <si>
    <t>8.  Aerodynamics for racing and performance cars, by Forbes Aird,  1997, HP Books, ISBN 1-55788-267-3</t>
  </si>
  <si>
    <r>
      <t>Aspect Ratio (tires) -</t>
    </r>
    <r>
      <rPr>
        <sz val="10"/>
        <rFont val="Arial"/>
        <family val="0"/>
      </rPr>
      <t xml:space="preserve"> Aspect ratio is the ratio of tire section height to section width, e.g. an aspect ratio of </t>
    </r>
  </si>
  <si>
    <t>with a simple rectangular shape, it is simply the span divided by the chord.</t>
  </si>
  <si>
    <r>
      <t>Aspect Ratio (airfoils)</t>
    </r>
    <r>
      <rPr>
        <sz val="10"/>
        <rFont val="Arial"/>
        <family val="0"/>
      </rPr>
      <t xml:space="preserve"> - an expression of the width of an airfoil's span to the length of the chord.  For airfoils</t>
    </r>
  </si>
  <si>
    <t>Calculating drag force</t>
  </si>
  <si>
    <t>Cd</t>
  </si>
  <si>
    <t>FA</t>
  </si>
  <si>
    <t>Vehicle speed</t>
  </si>
  <si>
    <t>Drag (Lb.)</t>
  </si>
  <si>
    <t>Calculating power required to overcome drag</t>
  </si>
  <si>
    <t>Drag (HP)</t>
  </si>
  <si>
    <t>Effects of downforce on lateral acceleration</t>
  </si>
  <si>
    <t>Tire g capability</t>
  </si>
  <si>
    <t>Speed possible</t>
  </si>
  <si>
    <t>Increased "g" capability of tires due to downforce</t>
  </si>
  <si>
    <t>Speed possible with downforce</t>
  </si>
  <si>
    <t>Amount of downforce</t>
  </si>
  <si>
    <t>http://www.icbm.org/erkson/personal/gearing.zip</t>
  </si>
  <si>
    <t>Square inches of filter required for engine</t>
  </si>
  <si>
    <t>Max RPM</t>
  </si>
  <si>
    <t>Square Inches</t>
  </si>
  <si>
    <t>Displacement (CID)</t>
  </si>
  <si>
    <t>Cubic cm (cc)</t>
  </si>
  <si>
    <t>Tire width (in inches)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</si>
</sst>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
    <numFmt numFmtId="168" formatCode="0;\-0;;@"/>
    <numFmt numFmtId="169" formatCode=";;;"/>
    <numFmt numFmtId="170" formatCode="0.00000"/>
    <numFmt numFmtId="171" formatCode="#\ ?/8"/>
    <numFmt numFmtId="172" formatCode="#\ ??/16"/>
  </numFmts>
  <fonts count="24">
    <font>
      <sz val="10"/>
      <name val="Arial"/>
      <family val="0"/>
    </font>
    <font>
      <b/>
      <sz val="10"/>
      <name val="Arial"/>
      <family val="2"/>
    </font>
    <font>
      <sz val="10"/>
      <color indexed="10"/>
      <name val="Arial"/>
      <family val="2"/>
    </font>
    <font>
      <u val="single"/>
      <sz val="10"/>
      <color indexed="12"/>
      <name val="Arial"/>
      <family val="0"/>
    </font>
    <font>
      <u val="single"/>
      <sz val="10"/>
      <color indexed="36"/>
      <name val="Arial"/>
      <family val="0"/>
    </font>
    <font>
      <sz val="24"/>
      <name val="Arial"/>
      <family val="2"/>
    </font>
    <font>
      <sz val="12"/>
      <name val="Arial"/>
      <family val="0"/>
    </font>
    <font>
      <b/>
      <sz val="12"/>
      <name val="Arial"/>
      <family val="0"/>
    </font>
    <font>
      <u val="single"/>
      <sz val="18"/>
      <color indexed="52"/>
      <name val="Arial"/>
      <family val="2"/>
    </font>
    <font>
      <b/>
      <sz val="14"/>
      <name val="Arial"/>
      <family val="2"/>
    </font>
    <font>
      <sz val="22"/>
      <name val="Arial"/>
      <family val="2"/>
    </font>
    <font>
      <b/>
      <sz val="16"/>
      <name val="Arial"/>
      <family val="2"/>
    </font>
    <font>
      <sz val="10"/>
      <color indexed="8"/>
      <name val="Arial"/>
      <family val="2"/>
    </font>
    <font>
      <b/>
      <sz val="10"/>
      <color indexed="8"/>
      <name val="Arial"/>
      <family val="2"/>
    </font>
    <font>
      <sz val="8"/>
      <name val="Tahoma"/>
      <family val="0"/>
    </font>
    <font>
      <b/>
      <sz val="8"/>
      <name val="Tahoma"/>
      <family val="0"/>
    </font>
    <font>
      <b/>
      <sz val="8"/>
      <color indexed="10"/>
      <name val="Tahoma"/>
      <family val="2"/>
    </font>
    <font>
      <b/>
      <sz val="8"/>
      <color indexed="8"/>
      <name val="Tahoma"/>
      <family val="2"/>
    </font>
    <font>
      <b/>
      <i/>
      <sz val="8"/>
      <name val="Tahoma"/>
      <family val="2"/>
    </font>
    <font>
      <sz val="10"/>
      <color indexed="16"/>
      <name val="Arial"/>
      <family val="2"/>
    </font>
    <font>
      <sz val="12"/>
      <color indexed="10"/>
      <name val="Arial"/>
      <family val="2"/>
    </font>
    <font>
      <sz val="12"/>
      <color indexed="8"/>
      <name val="Arial"/>
      <family val="2"/>
    </font>
    <font>
      <b/>
      <sz val="15.25"/>
      <name val="Arial"/>
      <family val="0"/>
    </font>
    <font>
      <b/>
      <sz val="8"/>
      <name val="Arial"/>
      <family val="2"/>
    </font>
  </fonts>
  <fills count="10">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s>
  <borders count="46">
    <border>
      <left/>
      <right/>
      <top/>
      <bottom/>
      <diagonal/>
    </border>
    <border>
      <left style="medium"/>
      <right style="medium"/>
      <top style="medium"/>
      <bottom style="mediu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medium"/>
      <bottom style="thin"/>
    </border>
    <border>
      <left style="thin"/>
      <right style="thin"/>
      <top style="thin"/>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style="thin"/>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2" borderId="0" xfId="0" applyFill="1" applyAlignment="1">
      <alignment horizontal="center"/>
    </xf>
    <xf numFmtId="0" fontId="1" fillId="0" borderId="0" xfId="0" applyFont="1" applyAlignment="1">
      <alignment horizontal="center"/>
    </xf>
    <xf numFmtId="0" fontId="1" fillId="0" borderId="0" xfId="0" applyFont="1" applyAlignment="1">
      <alignment/>
    </xf>
    <xf numFmtId="0" fontId="0" fillId="2" borderId="0" xfId="0" applyFill="1" applyAlignment="1">
      <alignment/>
    </xf>
    <xf numFmtId="0" fontId="0" fillId="0" borderId="0" xfId="0" applyFill="1" applyAlignment="1">
      <alignment/>
    </xf>
    <xf numFmtId="2" fontId="0" fillId="0" borderId="0" xfId="0" applyNumberFormat="1" applyAlignment="1">
      <alignment/>
    </xf>
    <xf numFmtId="2" fontId="0" fillId="0" borderId="0" xfId="0" applyNumberFormat="1" applyAlignment="1">
      <alignment horizontal="center"/>
    </xf>
    <xf numFmtId="1" fontId="1" fillId="3" borderId="1" xfId="0" applyNumberFormat="1" applyFont="1" applyFill="1" applyBorder="1" applyAlignment="1">
      <alignment horizontal="center"/>
    </xf>
    <xf numFmtId="0" fontId="0" fillId="2" borderId="2" xfId="0" applyFill="1" applyBorder="1" applyAlignment="1">
      <alignment horizontal="center"/>
    </xf>
    <xf numFmtId="0" fontId="1" fillId="0" borderId="0" xfId="0" applyFont="1" applyAlignment="1">
      <alignment/>
    </xf>
    <xf numFmtId="0" fontId="0" fillId="0" borderId="0" xfId="0" applyAlignment="1">
      <alignment/>
    </xf>
    <xf numFmtId="0" fontId="0" fillId="2" borderId="3" xfId="0" applyFill="1" applyBorder="1" applyAlignment="1">
      <alignment/>
    </xf>
    <xf numFmtId="0" fontId="0" fillId="2" borderId="4"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1" fillId="0" borderId="0" xfId="0" applyFont="1" applyFill="1" applyAlignment="1">
      <alignment/>
    </xf>
    <xf numFmtId="0" fontId="0" fillId="2" borderId="1" xfId="0" applyFill="1" applyBorder="1" applyAlignment="1">
      <alignment/>
    </xf>
    <xf numFmtId="0" fontId="1" fillId="0" borderId="0" xfId="0" applyFont="1" applyFill="1" applyAlignment="1">
      <alignment horizontal="center"/>
    </xf>
    <xf numFmtId="0" fontId="0" fillId="4" borderId="0" xfId="0" applyFill="1" applyAlignment="1">
      <alignment/>
    </xf>
    <xf numFmtId="0" fontId="0" fillId="4" borderId="0" xfId="0" applyFill="1" applyAlignment="1">
      <alignment horizontal="center"/>
    </xf>
    <xf numFmtId="0" fontId="1" fillId="4" borderId="0" xfId="0" applyFont="1" applyFill="1" applyAlignment="1">
      <alignment/>
    </xf>
    <xf numFmtId="0" fontId="1" fillId="2" borderId="0" xfId="0" applyFont="1" applyFill="1" applyAlignment="1">
      <alignment/>
    </xf>
    <xf numFmtId="0" fontId="0" fillId="0" borderId="0" xfId="0" applyAlignment="1">
      <alignment horizontal="right"/>
    </xf>
    <xf numFmtId="166" fontId="0" fillId="0" borderId="0" xfId="0" applyNumberFormat="1" applyAlignment="1">
      <alignment horizontal="center"/>
    </xf>
    <xf numFmtId="0" fontId="0" fillId="0" borderId="0" xfId="0" applyAlignment="1" applyProtection="1">
      <alignment/>
      <protection hidden="1"/>
    </xf>
    <xf numFmtId="165" fontId="0" fillId="0" borderId="0" xfId="0" applyNumberFormat="1" applyAlignment="1" applyProtection="1">
      <alignment/>
      <protection hidden="1"/>
    </xf>
    <xf numFmtId="49" fontId="0" fillId="0" borderId="0" xfId="0" applyNumberFormat="1" applyAlignment="1" applyProtection="1">
      <alignment horizontal="right"/>
      <protection hidden="1"/>
    </xf>
    <xf numFmtId="0" fontId="3" fillId="0" borderId="0" xfId="20" applyAlignment="1">
      <alignment/>
    </xf>
    <xf numFmtId="0" fontId="3" fillId="0" borderId="0" xfId="20" applyFont="1" applyAlignment="1">
      <alignment/>
    </xf>
    <xf numFmtId="170" fontId="0" fillId="0" borderId="0" xfId="0" applyNumberFormat="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2" borderId="10" xfId="0" applyFill="1" applyBorder="1" applyAlignment="1">
      <alignment horizontal="center"/>
    </xf>
    <xf numFmtId="0" fontId="0" fillId="2" borderId="11" xfId="0" applyFill="1" applyBorder="1" applyAlignment="1">
      <alignment horizontal="center"/>
    </xf>
    <xf numFmtId="0" fontId="1" fillId="2" borderId="12" xfId="0" applyFont="1" applyFill="1" applyBorder="1" applyAlignment="1">
      <alignment horizontal="center"/>
    </xf>
    <xf numFmtId="0" fontId="0" fillId="0" borderId="0" xfId="0" applyFill="1" applyBorder="1" applyAlignment="1">
      <alignment/>
    </xf>
    <xf numFmtId="0" fontId="0" fillId="5" borderId="0" xfId="0" applyFill="1" applyAlignment="1">
      <alignment/>
    </xf>
    <xf numFmtId="0" fontId="1" fillId="2" borderId="0" xfId="0" applyFont="1" applyFill="1" applyAlignment="1">
      <alignment horizontal="center"/>
    </xf>
    <xf numFmtId="0" fontId="1" fillId="5" borderId="12" xfId="0" applyFont="1" applyFill="1" applyBorder="1" applyAlignment="1">
      <alignment horizontal="center"/>
    </xf>
    <xf numFmtId="0" fontId="0" fillId="5" borderId="10" xfId="0" applyFill="1" applyBorder="1" applyAlignment="1">
      <alignment horizontal="center"/>
    </xf>
    <xf numFmtId="164" fontId="0" fillId="5" borderId="13" xfId="0" applyNumberFormat="1" applyFill="1" applyBorder="1" applyAlignment="1">
      <alignment horizontal="center"/>
    </xf>
    <xf numFmtId="165" fontId="0" fillId="5" borderId="13" xfId="0" applyNumberFormat="1" applyFill="1" applyBorder="1" applyAlignment="1">
      <alignment horizontal="center"/>
    </xf>
    <xf numFmtId="1" fontId="0" fillId="5" borderId="13" xfId="0" applyNumberFormat="1" applyFill="1" applyBorder="1" applyAlignment="1">
      <alignment horizontal="center"/>
    </xf>
    <xf numFmtId="0" fontId="0" fillId="5" borderId="13" xfId="0" applyFill="1" applyBorder="1" applyAlignment="1">
      <alignment horizontal="center"/>
    </xf>
    <xf numFmtId="170" fontId="0" fillId="5" borderId="13" xfId="0" applyNumberFormat="1" applyFill="1" applyBorder="1" applyAlignment="1">
      <alignment horizontal="center"/>
    </xf>
    <xf numFmtId="2" fontId="0" fillId="5" borderId="13" xfId="0" applyNumberFormat="1" applyFill="1" applyBorder="1" applyAlignment="1">
      <alignment horizontal="center"/>
    </xf>
    <xf numFmtId="0" fontId="0" fillId="4" borderId="1" xfId="0" applyFill="1" applyBorder="1" applyAlignment="1">
      <alignment horizontal="center"/>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horizontal="left"/>
    </xf>
    <xf numFmtId="0" fontId="0" fillId="4" borderId="17" xfId="0" applyFill="1" applyBorder="1" applyAlignment="1">
      <alignment horizontal="center"/>
    </xf>
    <xf numFmtId="0" fontId="0" fillId="4" borderId="8" xfId="0" applyFill="1" applyBorder="1" applyAlignment="1">
      <alignment horizontal="left"/>
    </xf>
    <xf numFmtId="0" fontId="0" fillId="4" borderId="8" xfId="0" applyFill="1" applyBorder="1" applyAlignment="1">
      <alignment horizontal="center"/>
    </xf>
    <xf numFmtId="0" fontId="0" fillId="4" borderId="18" xfId="0" applyFill="1" applyBorder="1" applyAlignment="1">
      <alignment/>
    </xf>
    <xf numFmtId="0" fontId="0" fillId="6" borderId="0" xfId="0" applyFill="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xf>
    <xf numFmtId="0" fontId="0" fillId="6" borderId="11" xfId="0" applyFill="1" applyBorder="1" applyAlignment="1">
      <alignment/>
    </xf>
    <xf numFmtId="0" fontId="0" fillId="6" borderId="0" xfId="0" applyFill="1" applyBorder="1" applyAlignment="1">
      <alignment/>
    </xf>
    <xf numFmtId="0" fontId="0" fillId="6" borderId="2" xfId="0" applyFill="1" applyBorder="1" applyAlignment="1">
      <alignment/>
    </xf>
    <xf numFmtId="2" fontId="0" fillId="6" borderId="0" xfId="0" applyNumberFormat="1" applyFill="1" applyBorder="1" applyAlignment="1">
      <alignment horizontal="center"/>
    </xf>
    <xf numFmtId="164" fontId="0" fillId="6" borderId="0" xfId="0" applyNumberFormat="1" applyFill="1" applyBorder="1" applyAlignment="1">
      <alignment horizontal="center"/>
    </xf>
    <xf numFmtId="0" fontId="0" fillId="6" borderId="22" xfId="0" applyFill="1" applyBorder="1" applyAlignment="1">
      <alignment/>
    </xf>
    <xf numFmtId="0" fontId="0" fillId="6" borderId="4" xfId="0" applyFill="1" applyBorder="1" applyAlignment="1">
      <alignment/>
    </xf>
    <xf numFmtId="2" fontId="0" fillId="6" borderId="4" xfId="0" applyNumberFormat="1" applyFill="1" applyBorder="1" applyAlignment="1">
      <alignment horizontal="center"/>
    </xf>
    <xf numFmtId="164" fontId="0" fillId="6" borderId="4" xfId="0" applyNumberFormat="1" applyFill="1" applyBorder="1" applyAlignment="1">
      <alignment horizontal="center"/>
    </xf>
    <xf numFmtId="0" fontId="0" fillId="6" borderId="3" xfId="0" applyFill="1" applyBorder="1" applyAlignment="1">
      <alignment/>
    </xf>
    <xf numFmtId="0" fontId="0" fillId="6" borderId="0" xfId="0" applyFill="1" applyAlignment="1">
      <alignment horizontal="center"/>
    </xf>
    <xf numFmtId="0" fontId="0" fillId="6" borderId="0" xfId="0" applyFill="1" applyAlignment="1">
      <alignment horizontal="left"/>
    </xf>
    <xf numFmtId="0" fontId="0" fillId="6" borderId="0" xfId="0" applyFill="1" applyAlignment="1" quotePrefix="1">
      <alignment/>
    </xf>
    <xf numFmtId="0" fontId="0" fillId="6" borderId="0" xfId="0" applyFill="1" applyBorder="1" applyAlignment="1">
      <alignment horizontal="center"/>
    </xf>
    <xf numFmtId="0" fontId="1" fillId="6" borderId="0" xfId="0" applyFont="1" applyFill="1" applyAlignment="1">
      <alignment horizontal="center"/>
    </xf>
    <xf numFmtId="0" fontId="1" fillId="6" borderId="0" xfId="0" applyFont="1" applyFill="1" applyBorder="1" applyAlignment="1">
      <alignment horizontal="center"/>
    </xf>
    <xf numFmtId="0" fontId="1" fillId="6" borderId="23" xfId="0" applyFont="1" applyFill="1" applyBorder="1" applyAlignment="1">
      <alignment horizontal="center"/>
    </xf>
    <xf numFmtId="0" fontId="0" fillId="6" borderId="0" xfId="0" applyFill="1" applyBorder="1" applyAlignment="1">
      <alignment/>
    </xf>
    <xf numFmtId="0" fontId="0" fillId="6" borderId="8" xfId="0" applyFill="1" applyBorder="1" applyAlignment="1">
      <alignment/>
    </xf>
    <xf numFmtId="0" fontId="0" fillId="6" borderId="8" xfId="0" applyFill="1" applyBorder="1" applyAlignment="1">
      <alignment horizontal="center"/>
    </xf>
    <xf numFmtId="165" fontId="0" fillId="6" borderId="0" xfId="0" applyNumberFormat="1" applyFill="1" applyAlignment="1">
      <alignment horizontal="center"/>
    </xf>
    <xf numFmtId="170" fontId="0" fillId="0" borderId="0" xfId="0" applyNumberFormat="1" applyFill="1" applyAlignment="1">
      <alignment/>
    </xf>
    <xf numFmtId="0" fontId="1" fillId="2" borderId="19" xfId="0" applyFont="1" applyFill="1" applyBorder="1" applyAlignment="1">
      <alignment horizontal="center"/>
    </xf>
    <xf numFmtId="0" fontId="1" fillId="5" borderId="0" xfId="0" applyFont="1" applyFill="1" applyAlignment="1">
      <alignment/>
    </xf>
    <xf numFmtId="0" fontId="1" fillId="6" borderId="0" xfId="0" applyFont="1" applyFill="1" applyAlignment="1">
      <alignment/>
    </xf>
    <xf numFmtId="0" fontId="3" fillId="0" borderId="0" xfId="20" applyFont="1" applyAlignment="1">
      <alignment/>
    </xf>
    <xf numFmtId="0" fontId="8" fillId="0" borderId="0" xfId="20" applyFont="1" applyAlignment="1">
      <alignment/>
    </xf>
    <xf numFmtId="0" fontId="9" fillId="0" borderId="0" xfId="0" applyFont="1" applyAlignment="1">
      <alignment/>
    </xf>
    <xf numFmtId="0" fontId="6" fillId="0" borderId="0" xfId="0" applyFont="1" applyAlignment="1">
      <alignment/>
    </xf>
    <xf numFmtId="0" fontId="10" fillId="0" borderId="0" xfId="0" applyFont="1" applyAlignment="1">
      <alignment/>
    </xf>
    <xf numFmtId="0" fontId="0" fillId="2" borderId="24" xfId="0" applyFill="1" applyBorder="1" applyAlignment="1">
      <alignment horizontal="center"/>
    </xf>
    <xf numFmtId="165" fontId="1" fillId="0" borderId="0" xfId="0" applyNumberFormat="1" applyFont="1" applyFill="1" applyBorder="1" applyAlignment="1">
      <alignment horizontal="center"/>
    </xf>
    <xf numFmtId="2" fontId="0" fillId="4" borderId="1" xfId="0" applyNumberFormat="1" applyFill="1" applyBorder="1" applyAlignment="1">
      <alignment horizontal="center"/>
    </xf>
    <xf numFmtId="166" fontId="0" fillId="4" borderId="1" xfId="0" applyNumberFormat="1" applyFill="1" applyBorder="1" applyAlignment="1">
      <alignment horizontal="center"/>
    </xf>
    <xf numFmtId="0" fontId="0" fillId="2" borderId="24" xfId="0" applyFont="1" applyFill="1" applyBorder="1" applyAlignment="1">
      <alignment horizontal="center"/>
    </xf>
    <xf numFmtId="0" fontId="0" fillId="0" borderId="0" xfId="0" applyFont="1" applyAlignment="1">
      <alignment/>
    </xf>
    <xf numFmtId="166" fontId="1" fillId="0" borderId="0" xfId="0" applyNumberFormat="1" applyFont="1" applyFill="1" applyAlignment="1">
      <alignment horizontal="center"/>
    </xf>
    <xf numFmtId="0" fontId="0" fillId="4" borderId="15" xfId="0" applyFill="1" applyBorder="1" applyAlignment="1">
      <alignment horizontal="center"/>
    </xf>
    <xf numFmtId="0" fontId="0" fillId="2" borderId="22" xfId="0" applyFill="1" applyBorder="1" applyAlignment="1">
      <alignment horizontal="center"/>
    </xf>
    <xf numFmtId="0" fontId="0" fillId="2" borderId="0" xfId="0" applyFill="1" applyBorder="1" applyAlignment="1">
      <alignment/>
    </xf>
    <xf numFmtId="0" fontId="0" fillId="2" borderId="15" xfId="0" applyFill="1" applyBorder="1" applyAlignment="1">
      <alignment/>
    </xf>
    <xf numFmtId="0" fontId="0" fillId="2" borderId="20" xfId="0" applyFill="1" applyBorder="1" applyAlignment="1">
      <alignment/>
    </xf>
    <xf numFmtId="0" fontId="0" fillId="2" borderId="21" xfId="0" applyFill="1" applyBorder="1" applyAlignment="1">
      <alignment/>
    </xf>
    <xf numFmtId="0" fontId="1" fillId="0" borderId="21" xfId="0" applyFont="1" applyBorder="1" applyAlignment="1">
      <alignment horizontal="left"/>
    </xf>
    <xf numFmtId="0" fontId="0" fillId="2" borderId="0" xfId="0" applyFill="1" applyBorder="1" applyAlignment="1">
      <alignment horizontal="center"/>
    </xf>
    <xf numFmtId="0" fontId="0" fillId="2" borderId="12" xfId="0" applyFill="1" applyBorder="1" applyAlignment="1">
      <alignment horizontal="center"/>
    </xf>
    <xf numFmtId="0" fontId="0" fillId="0" borderId="0" xfId="0" applyBorder="1" applyAlignment="1">
      <alignment horizontal="center"/>
    </xf>
    <xf numFmtId="0" fontId="0" fillId="7" borderId="0" xfId="0" applyFill="1" applyBorder="1" applyAlignment="1">
      <alignment horizontal="center"/>
    </xf>
    <xf numFmtId="0" fontId="0" fillId="7" borderId="24" xfId="0" applyFill="1" applyBorder="1" applyAlignment="1">
      <alignment horizontal="center"/>
    </xf>
    <xf numFmtId="0" fontId="0" fillId="7" borderId="13" xfId="0" applyFill="1" applyBorder="1" applyAlignment="1">
      <alignment horizontal="center"/>
    </xf>
    <xf numFmtId="0" fontId="0" fillId="7" borderId="0" xfId="0" applyFill="1" applyAlignment="1">
      <alignment horizontal="center"/>
    </xf>
    <xf numFmtId="1" fontId="0" fillId="7" borderId="24" xfId="0" applyNumberFormat="1" applyFill="1" applyBorder="1" applyAlignment="1">
      <alignment horizontal="center"/>
    </xf>
    <xf numFmtId="0" fontId="0" fillId="2" borderId="12" xfId="0" applyFill="1" applyBorder="1" applyAlignment="1">
      <alignment horizontal="left"/>
    </xf>
    <xf numFmtId="0" fontId="3" fillId="0" borderId="0" xfId="20" applyAlignment="1">
      <alignment horizontal="center"/>
    </xf>
    <xf numFmtId="1" fontId="0" fillId="7" borderId="13" xfId="0" applyNumberFormat="1" applyFill="1" applyBorder="1" applyAlignment="1">
      <alignment horizontal="center"/>
    </xf>
    <xf numFmtId="0" fontId="1" fillId="4" borderId="1" xfId="0" applyFont="1" applyFill="1" applyBorder="1" applyAlignment="1">
      <alignment horizontal="center"/>
    </xf>
    <xf numFmtId="2" fontId="0" fillId="7" borderId="24" xfId="0" applyNumberFormat="1" applyFill="1" applyBorder="1" applyAlignment="1">
      <alignment horizontal="center"/>
    </xf>
    <xf numFmtId="0" fontId="1" fillId="7" borderId="0" xfId="0" applyFont="1" applyFill="1" applyAlignment="1">
      <alignment/>
    </xf>
    <xf numFmtId="0" fontId="0" fillId="7" borderId="0" xfId="0" applyFill="1" applyAlignment="1">
      <alignment/>
    </xf>
    <xf numFmtId="0" fontId="2" fillId="0" borderId="0" xfId="0" applyFont="1" applyAlignment="1">
      <alignment/>
    </xf>
    <xf numFmtId="169" fontId="0" fillId="0" borderId="0" xfId="0" applyNumberFormat="1" applyFill="1" applyAlignment="1">
      <alignment/>
    </xf>
    <xf numFmtId="169" fontId="0" fillId="0" borderId="0" xfId="0" applyNumberFormat="1" applyFill="1" applyAlignment="1" applyProtection="1">
      <alignment/>
      <protection hidden="1"/>
    </xf>
    <xf numFmtId="0" fontId="1" fillId="2" borderId="12" xfId="0" applyFont="1" applyFill="1" applyBorder="1" applyAlignment="1">
      <alignment/>
    </xf>
    <xf numFmtId="0" fontId="1" fillId="4" borderId="25" xfId="0" applyFont="1" applyFill="1" applyBorder="1" applyAlignment="1">
      <alignment horizontal="center"/>
    </xf>
    <xf numFmtId="0" fontId="0" fillId="7" borderId="12" xfId="0" applyFill="1" applyBorder="1" applyAlignment="1">
      <alignment/>
    </xf>
    <xf numFmtId="0" fontId="0" fillId="7" borderId="12" xfId="0" applyFill="1" applyBorder="1" applyAlignment="1">
      <alignment horizontal="center"/>
    </xf>
    <xf numFmtId="0" fontId="0" fillId="4" borderId="0" xfId="0" applyFill="1" applyBorder="1" applyAlignment="1">
      <alignment horizontal="center"/>
    </xf>
    <xf numFmtId="0" fontId="0" fillId="5" borderId="12" xfId="0" applyFill="1" applyBorder="1" applyAlignment="1">
      <alignment horizontal="center"/>
    </xf>
    <xf numFmtId="0" fontId="0" fillId="2" borderId="11" xfId="0" applyFill="1" applyBorder="1" applyAlignment="1">
      <alignment/>
    </xf>
    <xf numFmtId="0" fontId="0" fillId="2" borderId="2" xfId="0" applyFill="1" applyBorder="1" applyAlignment="1">
      <alignment/>
    </xf>
    <xf numFmtId="0" fontId="0" fillId="2" borderId="19" xfId="0" applyFill="1" applyBorder="1" applyAlignment="1">
      <alignment/>
    </xf>
    <xf numFmtId="1" fontId="0" fillId="4" borderId="9" xfId="0" applyNumberFormat="1" applyFill="1" applyBorder="1" applyAlignment="1">
      <alignment horizontal="center"/>
    </xf>
    <xf numFmtId="1" fontId="1" fillId="4" borderId="9" xfId="0" applyNumberFormat="1" applyFont="1" applyFill="1" applyBorder="1" applyAlignment="1">
      <alignment horizontal="center"/>
    </xf>
    <xf numFmtId="0" fontId="1" fillId="0" borderId="18" xfId="0" applyFont="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7" xfId="0"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7" borderId="28" xfId="0" applyFill="1" applyBorder="1" applyAlignment="1">
      <alignment horizontal="center"/>
    </xf>
    <xf numFmtId="0" fontId="1" fillId="0" borderId="26" xfId="0" applyFont="1" applyBorder="1" applyAlignment="1">
      <alignment horizontal="left"/>
    </xf>
    <xf numFmtId="0" fontId="0" fillId="0" borderId="8" xfId="0" applyBorder="1" applyAlignment="1">
      <alignment horizontal="center"/>
    </xf>
    <xf numFmtId="0" fontId="0" fillId="7" borderId="8" xfId="0" applyFill="1" applyBorder="1" applyAlignment="1">
      <alignment horizontal="center"/>
    </xf>
    <xf numFmtId="0" fontId="1" fillId="0" borderId="0" xfId="0" applyFont="1" applyBorder="1" applyAlignment="1">
      <alignment horizontal="left"/>
    </xf>
    <xf numFmtId="0" fontId="0" fillId="2" borderId="26" xfId="0" applyFill="1" applyBorder="1" applyAlignment="1">
      <alignment horizontal="center"/>
    </xf>
    <xf numFmtId="0" fontId="3" fillId="8" borderId="29" xfId="20" applyFill="1" applyBorder="1" applyAlignment="1">
      <alignment horizontal="center"/>
    </xf>
    <xf numFmtId="1" fontId="0" fillId="0" borderId="0" xfId="0" applyNumberFormat="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1" fontId="0" fillId="7" borderId="32" xfId="0" applyNumberFormat="1" applyFill="1" applyBorder="1" applyAlignment="1">
      <alignment horizontal="center"/>
    </xf>
    <xf numFmtId="2" fontId="0" fillId="7" borderId="32" xfId="0" applyNumberFormat="1" applyFill="1" applyBorder="1" applyAlignment="1">
      <alignment horizontal="center"/>
    </xf>
    <xf numFmtId="0" fontId="0" fillId="7" borderId="32" xfId="0" applyFill="1"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4" borderId="0" xfId="0" applyFont="1" applyFill="1" applyBorder="1" applyAlignment="1">
      <alignment horizontal="center"/>
    </xf>
    <xf numFmtId="0" fontId="1" fillId="4" borderId="7" xfId="0" applyFont="1" applyFill="1" applyBorder="1" applyAlignment="1">
      <alignment horizontal="center"/>
    </xf>
    <xf numFmtId="0" fontId="1" fillId="0" borderId="18" xfId="0" applyFont="1" applyBorder="1" applyAlignment="1">
      <alignment/>
    </xf>
    <xf numFmtId="0" fontId="1" fillId="0" borderId="26" xfId="0" applyFont="1" applyBorder="1" applyAlignment="1">
      <alignment/>
    </xf>
    <xf numFmtId="0" fontId="0" fillId="2" borderId="26" xfId="0" applyFont="1" applyFill="1" applyBorder="1" applyAlignment="1">
      <alignment/>
    </xf>
    <xf numFmtId="0" fontId="1" fillId="2" borderId="31" xfId="0" applyFont="1" applyFill="1" applyBorder="1" applyAlignment="1">
      <alignment/>
    </xf>
    <xf numFmtId="0" fontId="0" fillId="2" borderId="33" xfId="0" applyFont="1" applyFill="1" applyBorder="1" applyAlignment="1">
      <alignment/>
    </xf>
    <xf numFmtId="0" fontId="1" fillId="0" borderId="0" xfId="0" applyFont="1" applyBorder="1" applyAlignment="1">
      <alignment/>
    </xf>
    <xf numFmtId="0" fontId="0" fillId="0" borderId="26" xfId="0" applyBorder="1" applyAlignment="1">
      <alignment/>
    </xf>
    <xf numFmtId="0" fontId="0" fillId="2" borderId="28" xfId="0" applyFill="1" applyBorder="1" applyAlignment="1">
      <alignment/>
    </xf>
    <xf numFmtId="0" fontId="0" fillId="2" borderId="33" xfId="0" applyFill="1" applyBorder="1" applyAlignment="1">
      <alignment/>
    </xf>
    <xf numFmtId="0" fontId="0" fillId="2" borderId="34" xfId="0" applyFill="1" applyBorder="1" applyAlignment="1">
      <alignment horizontal="left"/>
    </xf>
    <xf numFmtId="0" fontId="0" fillId="2" borderId="35" xfId="0" applyFill="1" applyBorder="1" applyAlignment="1">
      <alignment/>
    </xf>
    <xf numFmtId="0" fontId="0" fillId="2" borderId="36" xfId="0" applyFill="1" applyBorder="1" applyAlignment="1">
      <alignment/>
    </xf>
    <xf numFmtId="0" fontId="1" fillId="0" borderId="8" xfId="0" applyFont="1" applyBorder="1" applyAlignment="1">
      <alignment horizontal="center"/>
    </xf>
    <xf numFmtId="0" fontId="1" fillId="0" borderId="8" xfId="0" applyFont="1" applyBorder="1" applyAlignment="1">
      <alignment/>
    </xf>
    <xf numFmtId="0" fontId="0" fillId="0" borderId="9" xfId="0" applyBorder="1" applyAlignment="1">
      <alignment/>
    </xf>
    <xf numFmtId="0" fontId="0" fillId="2" borderId="28" xfId="0" applyFill="1" applyBorder="1" applyAlignment="1">
      <alignment horizontal="left"/>
    </xf>
    <xf numFmtId="0" fontId="0" fillId="2" borderId="37" xfId="0" applyFill="1" applyBorder="1" applyAlignment="1">
      <alignment/>
    </xf>
    <xf numFmtId="0" fontId="0" fillId="2" borderId="38" xfId="0" applyFill="1" applyBorder="1" applyAlignment="1">
      <alignment/>
    </xf>
    <xf numFmtId="0" fontId="0" fillId="2" borderId="8" xfId="0" applyFill="1" applyBorder="1" applyAlignment="1">
      <alignment/>
    </xf>
    <xf numFmtId="0" fontId="0" fillId="2" borderId="39" xfId="0" applyFill="1" applyBorder="1" applyAlignment="1">
      <alignment/>
    </xf>
    <xf numFmtId="2" fontId="0" fillId="6" borderId="24" xfId="0" applyNumberFormat="1" applyFill="1" applyBorder="1" applyAlignment="1">
      <alignment horizontal="center"/>
    </xf>
    <xf numFmtId="164" fontId="0" fillId="6" borderId="24" xfId="0" applyNumberFormat="1" applyFill="1" applyBorder="1" applyAlignment="1">
      <alignment horizontal="center"/>
    </xf>
    <xf numFmtId="0" fontId="0" fillId="6" borderId="20" xfId="0" applyFill="1" applyBorder="1" applyAlignment="1">
      <alignment horizontal="center"/>
    </xf>
    <xf numFmtId="0" fontId="0" fillId="7" borderId="24" xfId="0" applyFill="1" applyBorder="1" applyAlignment="1">
      <alignment/>
    </xf>
    <xf numFmtId="0" fontId="0" fillId="2" borderId="24" xfId="0" applyFill="1" applyBorder="1" applyAlignment="1">
      <alignment/>
    </xf>
    <xf numFmtId="0" fontId="2" fillId="0" borderId="0" xfId="0" applyFont="1" applyAlignment="1">
      <alignment horizontal="center"/>
    </xf>
    <xf numFmtId="0" fontId="2" fillId="0" borderId="0" xfId="0" applyFont="1" applyAlignment="1">
      <alignment horizontal="left"/>
    </xf>
    <xf numFmtId="0" fontId="0" fillId="5" borderId="0" xfId="0" applyFill="1" applyBorder="1" applyAlignment="1">
      <alignment/>
    </xf>
    <xf numFmtId="0" fontId="0" fillId="0" borderId="0" xfId="0" applyFont="1" applyFill="1" applyAlignment="1">
      <alignment horizontal="center"/>
    </xf>
    <xf numFmtId="0" fontId="0" fillId="5" borderId="24" xfId="0" applyFont="1" applyFill="1" applyBorder="1" applyAlignment="1">
      <alignment horizontal="center"/>
    </xf>
    <xf numFmtId="2" fontId="0" fillId="7" borderId="24" xfId="0" applyNumberFormat="1" applyFill="1" applyBorder="1" applyAlignment="1">
      <alignment/>
    </xf>
    <xf numFmtId="164" fontId="0" fillId="7" borderId="22" xfId="0" applyNumberFormat="1" applyFill="1" applyBorder="1" applyAlignment="1">
      <alignment horizontal="center"/>
    </xf>
    <xf numFmtId="165" fontId="1" fillId="0" borderId="0" xfId="0" applyNumberFormat="1" applyFont="1" applyAlignment="1" applyProtection="1">
      <alignment/>
      <protection hidden="1"/>
    </xf>
    <xf numFmtId="0" fontId="13" fillId="0" borderId="0" xfId="0" applyFont="1" applyAlignment="1">
      <alignment horizontal="left"/>
    </xf>
    <xf numFmtId="0" fontId="12" fillId="2" borderId="24" xfId="0" applyFont="1" applyFill="1" applyBorder="1" applyAlignment="1">
      <alignment/>
    </xf>
    <xf numFmtId="0" fontId="3" fillId="0" borderId="0" xfId="20" applyFont="1" applyAlignment="1">
      <alignment horizontal="center"/>
    </xf>
    <xf numFmtId="0" fontId="19" fillId="0" borderId="0" xfId="0" applyFont="1" applyFill="1" applyAlignment="1">
      <alignment/>
    </xf>
    <xf numFmtId="0" fontId="6" fillId="0" borderId="0" xfId="0" applyFont="1" applyAlignment="1">
      <alignment horizontal="center"/>
    </xf>
    <xf numFmtId="0" fontId="6" fillId="0" borderId="0" xfId="0" applyFont="1" applyAlignment="1">
      <alignment/>
    </xf>
    <xf numFmtId="0" fontId="0" fillId="6" borderId="0" xfId="0" applyFill="1" applyAlignment="1" applyProtection="1">
      <alignment horizontal="center"/>
      <protection hidden="1"/>
    </xf>
    <xf numFmtId="0" fontId="0" fillId="4" borderId="0" xfId="0" applyFill="1" applyAlignment="1" applyProtection="1">
      <alignment/>
      <protection hidden="1"/>
    </xf>
    <xf numFmtId="0" fontId="1" fillId="0" borderId="0" xfId="0" applyFont="1" applyFill="1" applyAlignment="1" applyProtection="1">
      <alignment/>
      <protection hidden="1"/>
    </xf>
    <xf numFmtId="49" fontId="0" fillId="6" borderId="0" xfId="0" applyNumberFormat="1" applyFill="1" applyAlignment="1" applyProtection="1">
      <alignment horizontal="center"/>
      <protection hidden="1"/>
    </xf>
    <xf numFmtId="0" fontId="20" fillId="0" borderId="0" xfId="0" applyFont="1" applyAlignment="1">
      <alignment horizontal="left"/>
    </xf>
    <xf numFmtId="0" fontId="0" fillId="0" borderId="26" xfId="0" applyFill="1" applyBorder="1" applyAlignment="1">
      <alignment/>
    </xf>
    <xf numFmtId="0" fontId="0" fillId="0" borderId="7" xfId="0" applyFill="1" applyBorder="1" applyAlignment="1">
      <alignment/>
    </xf>
    <xf numFmtId="0" fontId="0" fillId="2" borderId="22" xfId="0" applyFill="1" applyBorder="1" applyAlignment="1">
      <alignment/>
    </xf>
    <xf numFmtId="0" fontId="0" fillId="7" borderId="40" xfId="0" applyFill="1" applyBorder="1" applyAlignment="1">
      <alignment horizontal="center"/>
    </xf>
    <xf numFmtId="0" fontId="1" fillId="4" borderId="0" xfId="0" applyFont="1" applyFill="1" applyAlignment="1">
      <alignment horizontal="center"/>
    </xf>
    <xf numFmtId="0" fontId="1" fillId="4" borderId="8" xfId="0" applyFont="1" applyFill="1" applyBorder="1" applyAlignment="1">
      <alignment horizontal="center"/>
    </xf>
    <xf numFmtId="0" fontId="0" fillId="7" borderId="22" xfId="0" applyFill="1" applyBorder="1" applyAlignment="1">
      <alignment horizontal="center"/>
    </xf>
    <xf numFmtId="13" fontId="0" fillId="2" borderId="24" xfId="0" applyNumberFormat="1" applyFill="1" applyBorder="1" applyAlignment="1">
      <alignment horizontal="center"/>
    </xf>
    <xf numFmtId="0" fontId="0" fillId="6" borderId="0" xfId="0" applyFont="1" applyFill="1" applyAlignment="1">
      <alignment horizontal="center"/>
    </xf>
    <xf numFmtId="13" fontId="0" fillId="6" borderId="0" xfId="0" applyNumberFormat="1" applyFill="1" applyAlignment="1">
      <alignment horizontal="center"/>
    </xf>
    <xf numFmtId="13" fontId="0" fillId="6" borderId="0" xfId="0" applyNumberFormat="1" applyFont="1" applyFill="1" applyAlignment="1">
      <alignment horizontal="center"/>
    </xf>
    <xf numFmtId="166" fontId="0" fillId="6" borderId="0" xfId="0" applyNumberFormat="1" applyFill="1" applyAlignment="1">
      <alignment horizontal="center"/>
    </xf>
    <xf numFmtId="0" fontId="1" fillId="6" borderId="8" xfId="0" applyFont="1" applyFill="1" applyBorder="1" applyAlignment="1">
      <alignment horizontal="center"/>
    </xf>
    <xf numFmtId="0" fontId="1" fillId="6" borderId="8" xfId="0" applyFont="1" applyFill="1" applyBorder="1" applyAlignment="1">
      <alignment horizontal="left"/>
    </xf>
    <xf numFmtId="12" fontId="0" fillId="6" borderId="0" xfId="0" applyNumberFormat="1" applyFont="1" applyFill="1" applyAlignment="1">
      <alignment horizontal="center"/>
    </xf>
    <xf numFmtId="13" fontId="0" fillId="0" borderId="0" xfId="0" applyNumberFormat="1" applyFill="1" applyAlignment="1">
      <alignment horizontal="center"/>
    </xf>
    <xf numFmtId="13" fontId="0" fillId="0" borderId="0" xfId="0" applyNumberFormat="1" applyFont="1" applyFill="1" applyAlignment="1">
      <alignment horizontal="center"/>
    </xf>
    <xf numFmtId="166" fontId="0" fillId="0" borderId="0" xfId="0" applyNumberFormat="1" applyFill="1" applyAlignment="1">
      <alignment horizontal="center"/>
    </xf>
    <xf numFmtId="2" fontId="0" fillId="9" borderId="24" xfId="0" applyNumberFormat="1" applyFill="1" applyBorder="1" applyAlignment="1">
      <alignment horizontal="center"/>
    </xf>
    <xf numFmtId="13" fontId="1" fillId="6" borderId="0" xfId="0" applyNumberFormat="1" applyFont="1" applyFill="1" applyAlignment="1">
      <alignment horizontal="center"/>
    </xf>
    <xf numFmtId="166" fontId="1" fillId="6" borderId="0" xfId="0" applyNumberFormat="1" applyFont="1" applyFill="1" applyAlignment="1">
      <alignment horizontal="center"/>
    </xf>
    <xf numFmtId="2" fontId="0" fillId="6" borderId="0" xfId="0" applyNumberFormat="1" applyFont="1" applyFill="1" applyAlignment="1">
      <alignment horizontal="center"/>
    </xf>
    <xf numFmtId="2" fontId="0" fillId="0" borderId="0" xfId="0" applyNumberFormat="1" applyFill="1" applyAlignment="1">
      <alignment horizontal="center"/>
    </xf>
    <xf numFmtId="0" fontId="0" fillId="2" borderId="22" xfId="0" applyFill="1" applyBorder="1" applyAlignment="1">
      <alignment/>
    </xf>
    <xf numFmtId="165" fontId="0" fillId="0" borderId="0" xfId="0" applyNumberFormat="1" applyAlignment="1">
      <alignment/>
    </xf>
    <xf numFmtId="0" fontId="0" fillId="0" borderId="0" xfId="0" applyBorder="1" applyAlignment="1">
      <alignment horizontal="left"/>
    </xf>
    <xf numFmtId="0" fontId="0" fillId="0" borderId="18" xfId="0" applyBorder="1" applyAlignment="1">
      <alignment/>
    </xf>
    <xf numFmtId="0" fontId="0" fillId="0" borderId="26" xfId="0" applyBorder="1" applyAlignment="1">
      <alignment/>
    </xf>
    <xf numFmtId="0" fontId="0" fillId="0" borderId="38" xfId="0" applyBorder="1" applyAlignment="1">
      <alignment/>
    </xf>
    <xf numFmtId="0" fontId="0" fillId="5" borderId="2" xfId="0" applyFill="1" applyBorder="1" applyAlignment="1">
      <alignment horizontal="center"/>
    </xf>
    <xf numFmtId="1" fontId="0" fillId="5" borderId="41" xfId="0" applyNumberFormat="1" applyFill="1" applyBorder="1" applyAlignment="1">
      <alignment horizontal="center"/>
    </xf>
    <xf numFmtId="0" fontId="1" fillId="5" borderId="21" xfId="0" applyFont="1" applyFill="1" applyBorder="1" applyAlignment="1">
      <alignment horizontal="center"/>
    </xf>
    <xf numFmtId="165" fontId="0" fillId="5" borderId="41" xfId="0" applyNumberFormat="1" applyFill="1" applyBorder="1" applyAlignment="1">
      <alignment horizontal="center"/>
    </xf>
    <xf numFmtId="165" fontId="0" fillId="5" borderId="42" xfId="0" applyNumberFormat="1" applyFill="1" applyBorder="1" applyAlignment="1">
      <alignment horizontal="center"/>
    </xf>
    <xf numFmtId="165" fontId="0" fillId="5" borderId="43" xfId="0" applyNumberFormat="1" applyFill="1" applyBorder="1" applyAlignment="1">
      <alignment horizontal="center"/>
    </xf>
    <xf numFmtId="0" fontId="0" fillId="5" borderId="11" xfId="0" applyFill="1" applyBorder="1" applyAlignment="1">
      <alignment horizontal="center"/>
    </xf>
    <xf numFmtId="0" fontId="0" fillId="5" borderId="0" xfId="0" applyFill="1" applyBorder="1" applyAlignment="1">
      <alignment horizontal="center"/>
    </xf>
    <xf numFmtId="0" fontId="0" fillId="4" borderId="44"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5" borderId="19" xfId="0" applyFont="1" applyFill="1" applyBorder="1" applyAlignment="1">
      <alignment horizontal="center"/>
    </xf>
    <xf numFmtId="0" fontId="1" fillId="5" borderId="20" xfId="0" applyFont="1"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3" xfId="0" applyFill="1" applyBorder="1" applyAlignment="1">
      <alignment horizontal="center"/>
    </xf>
    <xf numFmtId="165" fontId="0" fillId="7" borderId="19" xfId="0" applyNumberFormat="1" applyFill="1" applyBorder="1" applyAlignment="1">
      <alignment horizontal="center"/>
    </xf>
    <xf numFmtId="165" fontId="0" fillId="7" borderId="21" xfId="0" applyNumberFormat="1" applyFill="1" applyBorder="1" applyAlignment="1">
      <alignment horizontal="center"/>
    </xf>
    <xf numFmtId="0" fontId="0" fillId="2" borderId="37" xfId="0" applyFont="1" applyFill="1" applyBorder="1" applyAlignment="1">
      <alignment horizontal="center"/>
    </xf>
    <xf numFmtId="0" fontId="0" fillId="2" borderId="21" xfId="0" applyFont="1" applyFill="1" applyBorder="1" applyAlignment="1">
      <alignment horizontal="center"/>
    </xf>
    <xf numFmtId="0" fontId="0" fillId="2" borderId="33" xfId="0" applyFont="1" applyFill="1" applyBorder="1" applyAlignment="1">
      <alignment horizontal="center"/>
    </xf>
    <xf numFmtId="0" fontId="0" fillId="2" borderId="3" xfId="0" applyFont="1" applyFill="1" applyBorder="1" applyAlignment="1">
      <alignment horizontal="center"/>
    </xf>
    <xf numFmtId="165" fontId="0" fillId="7" borderId="34" xfId="0" applyNumberFormat="1" applyFill="1" applyBorder="1" applyAlignment="1">
      <alignment horizontal="center"/>
    </xf>
    <xf numFmtId="165" fontId="0" fillId="7" borderId="35" xfId="0" applyNumberFormat="1" applyFill="1" applyBorder="1" applyAlignment="1">
      <alignment horizontal="center"/>
    </xf>
    <xf numFmtId="0" fontId="1" fillId="0" borderId="42" xfId="0" applyFont="1" applyBorder="1" applyAlignment="1">
      <alignment horizontal="left"/>
    </xf>
    <xf numFmtId="0" fontId="10" fillId="0" borderId="0" xfId="0" applyFont="1" applyAlignment="1">
      <alignment horizontal="center"/>
    </xf>
    <xf numFmtId="0" fontId="8" fillId="0" borderId="0" xfId="20" applyFont="1" applyAlignment="1">
      <alignment horizontal="center"/>
    </xf>
    <xf numFmtId="0" fontId="5" fillId="0" borderId="0" xfId="0" applyFont="1" applyAlignment="1">
      <alignment horizontal="center"/>
    </xf>
    <xf numFmtId="0" fontId="1" fillId="4" borderId="11" xfId="0" applyFont="1" applyFill="1" applyBorder="1" applyAlignment="1">
      <alignment horizontal="center"/>
    </xf>
    <xf numFmtId="0" fontId="1" fillId="4" borderId="0" xfId="0" applyFont="1" applyFill="1" applyAlignment="1">
      <alignment horizontal="center"/>
    </xf>
    <xf numFmtId="0" fontId="0" fillId="2" borderId="19" xfId="0" applyFill="1" applyBorder="1" applyAlignment="1">
      <alignment horizontal="center"/>
    </xf>
    <xf numFmtId="1" fontId="0" fillId="5" borderId="42" xfId="0" applyNumberFormat="1" applyFill="1" applyBorder="1" applyAlignment="1">
      <alignment horizontal="center"/>
    </xf>
    <xf numFmtId="1" fontId="0" fillId="5" borderId="43" xfId="0" applyNumberFormat="1" applyFill="1" applyBorder="1" applyAlignment="1">
      <alignment horizontal="center"/>
    </xf>
    <xf numFmtId="0" fontId="0" fillId="0" borderId="43" xfId="0" applyBorder="1" applyAlignment="1">
      <alignment/>
    </xf>
    <xf numFmtId="0" fontId="0" fillId="4" borderId="11" xfId="0"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0" fontId="1" fillId="4" borderId="45"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0" fillId="2" borderId="41" xfId="0" applyFill="1" applyBorder="1" applyAlignment="1">
      <alignment horizontal="center"/>
    </xf>
    <xf numFmtId="0" fontId="0" fillId="2" borderId="43" xfId="0" applyFill="1" applyBorder="1" applyAlignment="1">
      <alignment horizontal="center"/>
    </xf>
    <xf numFmtId="0" fontId="0" fillId="5" borderId="19" xfId="0" applyFill="1" applyBorder="1" applyAlignment="1">
      <alignment horizontal="center"/>
    </xf>
    <xf numFmtId="0" fontId="0" fillId="5" borderId="21" xfId="0" applyFill="1" applyBorder="1" applyAlignment="1">
      <alignment horizontal="center"/>
    </xf>
    <xf numFmtId="0" fontId="0" fillId="5" borderId="20" xfId="0" applyFill="1" applyBorder="1" applyAlignment="1">
      <alignment horizontal="center"/>
    </xf>
    <xf numFmtId="0" fontId="0" fillId="5" borderId="42" xfId="0" applyFill="1" applyBorder="1" applyAlignment="1">
      <alignment horizontal="center"/>
    </xf>
    <xf numFmtId="0" fontId="0" fillId="5" borderId="43" xfId="0" applyFill="1" applyBorder="1" applyAlignment="1">
      <alignment horizontal="center"/>
    </xf>
    <xf numFmtId="0" fontId="0" fillId="2" borderId="20" xfId="0" applyFill="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164" fontId="0" fillId="4" borderId="16" xfId="0" applyNumberFormat="1"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0" fontId="0" fillId="5" borderId="41" xfId="0" applyFill="1" applyBorder="1" applyAlignment="1">
      <alignment horizontal="center"/>
    </xf>
    <xf numFmtId="0" fontId="1" fillId="0" borderId="0" xfId="0" applyFont="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10" fontId="0" fillId="4" borderId="14" xfId="0" applyNumberFormat="1" applyFill="1" applyBorder="1" applyAlignment="1">
      <alignment horizontal="center"/>
    </xf>
    <xf numFmtId="10" fontId="0" fillId="4" borderId="15" xfId="0" applyNumberFormat="1" applyFill="1" applyBorder="1" applyAlignment="1">
      <alignment horizontal="center"/>
    </xf>
    <xf numFmtId="2" fontId="0" fillId="0" borderId="0" xfId="0" applyNumberFormat="1" applyBorder="1" applyAlignment="1">
      <alignment horizontal="center"/>
    </xf>
    <xf numFmtId="0" fontId="0" fillId="2" borderId="26" xfId="0" applyFill="1"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0" xfId="0" applyAlignment="1">
      <alignment horizontal="center"/>
    </xf>
    <xf numFmtId="1" fontId="0" fillId="4" borderId="16" xfId="0" applyNumberFormat="1" applyFill="1" applyBorder="1" applyAlignment="1">
      <alignment horizontal="center"/>
    </xf>
    <xf numFmtId="1" fontId="0" fillId="4" borderId="15" xfId="0" applyNumberFormat="1" applyFill="1" applyBorder="1" applyAlignment="1">
      <alignment horizontal="center"/>
    </xf>
    <xf numFmtId="2" fontId="0" fillId="4" borderId="16" xfId="0" applyNumberFormat="1" applyFill="1" applyBorder="1" applyAlignment="1">
      <alignment horizontal="center"/>
    </xf>
    <xf numFmtId="2" fontId="0" fillId="4" borderId="15" xfId="0" applyNumberFormat="1" applyFill="1" applyBorder="1" applyAlignment="1">
      <alignment horizontal="center"/>
    </xf>
    <xf numFmtId="0" fontId="1" fillId="4" borderId="8" xfId="0" applyFont="1" applyFill="1" applyBorder="1" applyAlignment="1">
      <alignment horizontal="center"/>
    </xf>
    <xf numFmtId="0" fontId="1" fillId="4" borderId="0" xfId="0" applyFont="1"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2" borderId="0" xfId="0" applyFill="1" applyAlignment="1">
      <alignment horizontal="center"/>
    </xf>
    <xf numFmtId="0" fontId="0" fillId="4" borderId="16" xfId="0" applyFill="1" applyBorder="1" applyAlignment="1">
      <alignment horizontal="center"/>
    </xf>
    <xf numFmtId="0" fontId="0" fillId="7" borderId="22" xfId="0" applyFill="1" applyBorder="1" applyAlignment="1">
      <alignment horizontal="center"/>
    </xf>
    <xf numFmtId="0" fontId="0" fillId="7" borderId="3" xfId="0" applyFill="1" applyBorder="1" applyAlignment="1">
      <alignment horizontal="center"/>
    </xf>
    <xf numFmtId="2" fontId="0" fillId="5" borderId="22" xfId="0" applyNumberFormat="1" applyFill="1" applyBorder="1" applyAlignment="1">
      <alignment horizontal="center"/>
    </xf>
    <xf numFmtId="2" fontId="0" fillId="5" borderId="3" xfId="0" applyNumberFormat="1" applyFill="1" applyBorder="1" applyAlignment="1">
      <alignment horizontal="center"/>
    </xf>
    <xf numFmtId="1" fontId="0" fillId="2" borderId="22" xfId="0" applyNumberFormat="1" applyFill="1" applyBorder="1" applyAlignment="1">
      <alignment horizontal="center"/>
    </xf>
    <xf numFmtId="1" fontId="0" fillId="2" borderId="3" xfId="0" applyNumberFormat="1" applyFill="1" applyBorder="1" applyAlignment="1">
      <alignment horizontal="center"/>
    </xf>
    <xf numFmtId="0" fontId="1" fillId="4" borderId="7" xfId="0" applyFont="1" applyFill="1" applyBorder="1" applyAlignment="1">
      <alignment horizontal="center"/>
    </xf>
    <xf numFmtId="2" fontId="0" fillId="4" borderId="16" xfId="0" applyNumberFormat="1" applyFont="1" applyFill="1" applyBorder="1" applyAlignment="1">
      <alignment horizontal="center"/>
    </xf>
    <xf numFmtId="2" fontId="0" fillId="4" borderId="14" xfId="0" applyNumberFormat="1" applyFont="1" applyFill="1" applyBorder="1" applyAlignment="1">
      <alignment horizontal="center"/>
    </xf>
    <xf numFmtId="2" fontId="0" fillId="4" borderId="15" xfId="0" applyNumberFormat="1" applyFont="1" applyFill="1" applyBorder="1" applyAlignment="1">
      <alignment horizontal="center"/>
    </xf>
    <xf numFmtId="0" fontId="0" fillId="7" borderId="8" xfId="0" applyFill="1" applyBorder="1" applyAlignment="1">
      <alignment horizontal="center"/>
    </xf>
    <xf numFmtId="1" fontId="0" fillId="4" borderId="14" xfId="0" applyNumberFormat="1" applyFill="1" applyBorder="1" applyAlignment="1">
      <alignment horizontal="center"/>
    </xf>
    <xf numFmtId="0" fontId="0" fillId="0" borderId="7" xfId="0" applyBorder="1" applyAlignment="1">
      <alignment horizontal="center"/>
    </xf>
    <xf numFmtId="1" fontId="0" fillId="7" borderId="22" xfId="0" applyNumberFormat="1" applyFill="1" applyBorder="1" applyAlignment="1">
      <alignment horizontal="center"/>
    </xf>
    <xf numFmtId="1" fontId="0" fillId="7" borderId="3" xfId="0" applyNumberFormat="1" applyFill="1" applyBorder="1" applyAlignment="1">
      <alignment horizontal="center"/>
    </xf>
    <xf numFmtId="0" fontId="20" fillId="0" borderId="0" xfId="0" applyFont="1" applyAlignment="1">
      <alignment horizontal="left"/>
    </xf>
    <xf numFmtId="0" fontId="6" fillId="0" borderId="0" xfId="0" applyFont="1" applyAlignment="1">
      <alignment horizontal="left"/>
    </xf>
    <xf numFmtId="0" fontId="21" fillId="0" borderId="0" xfId="0" applyFont="1" applyAlignment="1">
      <alignment horizontal="left"/>
    </xf>
    <xf numFmtId="0" fontId="1" fillId="0" borderId="0" xfId="0" applyFont="1" applyFill="1" applyBorder="1" applyAlignment="1">
      <alignment horizontal="center"/>
    </xf>
    <xf numFmtId="0" fontId="1" fillId="0" borderId="18" xfId="0" applyFont="1" applyBorder="1" applyAlignment="1">
      <alignment horizontal="center"/>
    </xf>
    <xf numFmtId="0" fontId="1" fillId="0" borderId="5" xfId="0" applyFont="1" applyBorder="1" applyAlignment="1">
      <alignment horizontal="center"/>
    </xf>
    <xf numFmtId="0" fontId="1" fillId="0" borderId="26" xfId="0" applyFont="1" applyBorder="1" applyAlignment="1">
      <alignment horizontal="center"/>
    </xf>
    <xf numFmtId="0" fontId="1" fillId="0" borderId="0" xfId="0" applyFont="1" applyBorder="1" applyAlignment="1">
      <alignment horizontal="center"/>
    </xf>
    <xf numFmtId="0" fontId="0" fillId="7" borderId="4"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7" borderId="44" xfId="0" applyFill="1" applyBorder="1" applyAlignment="1">
      <alignment horizontal="center"/>
    </xf>
    <xf numFmtId="0" fontId="0" fillId="7" borderId="9" xfId="0" applyFill="1" applyBorder="1" applyAlignment="1">
      <alignment horizontal="center"/>
    </xf>
    <xf numFmtId="1" fontId="0" fillId="7" borderId="38" xfId="0" applyNumberFormat="1" applyFill="1" applyBorder="1" applyAlignment="1">
      <alignment horizontal="center"/>
    </xf>
    <xf numFmtId="1" fontId="0" fillId="7" borderId="8" xfId="0" applyNumberFormat="1" applyFill="1" applyBorder="1" applyAlignment="1">
      <alignment horizontal="center"/>
    </xf>
    <xf numFmtId="0" fontId="1" fillId="4" borderId="9" xfId="0" applyFont="1" applyFill="1" applyBorder="1" applyAlignment="1">
      <alignment horizontal="center"/>
    </xf>
    <xf numFmtId="0" fontId="1" fillId="4" borderId="16"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6" fillId="0" borderId="0" xfId="0" applyFont="1" applyAlignment="1">
      <alignment horizontal="center"/>
    </xf>
    <xf numFmtId="2" fontId="0" fillId="2" borderId="22" xfId="0" applyNumberFormat="1" applyFill="1" applyBorder="1" applyAlignment="1">
      <alignment horizontal="center"/>
    </xf>
    <xf numFmtId="2" fontId="0" fillId="2" borderId="3" xfId="0" applyNumberFormat="1" applyFill="1" applyBorder="1" applyAlignment="1">
      <alignment horizontal="center"/>
    </xf>
    <xf numFmtId="0" fontId="0" fillId="7" borderId="0" xfId="0" applyFill="1" applyAlignment="1">
      <alignment horizontal="center"/>
    </xf>
    <xf numFmtId="2" fontId="0" fillId="7" borderId="0" xfId="0" applyNumberFormat="1" applyFill="1" applyAlignment="1">
      <alignment horizontal="center"/>
    </xf>
    <xf numFmtId="0" fontId="0" fillId="5" borderId="0" xfId="0" applyFill="1" applyAlignment="1">
      <alignment horizontal="center"/>
    </xf>
    <xf numFmtId="2" fontId="0" fillId="5" borderId="0" xfId="0" applyNumberFormat="1" applyFill="1" applyAlignment="1">
      <alignment horizontal="center"/>
    </xf>
    <xf numFmtId="0" fontId="3" fillId="0" borderId="0" xfId="20" applyFont="1" applyAlignment="1">
      <alignment horizontal="center"/>
    </xf>
    <xf numFmtId="0" fontId="3" fillId="0" borderId="0" xfId="20" applyAlignment="1">
      <alignment horizontal="center"/>
    </xf>
    <xf numFmtId="0" fontId="0" fillId="2" borderId="7" xfId="0" applyFill="1" applyBorder="1" applyAlignment="1">
      <alignment horizontal="center"/>
    </xf>
    <xf numFmtId="2" fontId="0" fillId="7" borderId="22" xfId="0" applyNumberFormat="1" applyFill="1" applyBorder="1" applyAlignment="1">
      <alignment horizontal="center"/>
    </xf>
    <xf numFmtId="0" fontId="1" fillId="2" borderId="0" xfId="0" applyFont="1" applyFill="1" applyAlignment="1">
      <alignment horizontal="center"/>
    </xf>
    <xf numFmtId="0" fontId="0" fillId="4" borderId="0" xfId="0" applyFill="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0" fontId="0" fillId="2" borderId="0" xfId="0" applyFill="1" applyAlignment="1" applyProtection="1">
      <alignment horizontal="center"/>
      <protection hidden="1"/>
    </xf>
    <xf numFmtId="0" fontId="0" fillId="2" borderId="2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5" borderId="0" xfId="0" applyFill="1" applyAlignment="1" applyProtection="1">
      <alignment horizontal="center"/>
      <protection hidden="1"/>
    </xf>
    <xf numFmtId="0" fontId="0" fillId="6" borderId="0" xfId="0" applyFill="1" applyAlignment="1" applyProtection="1">
      <alignment horizontal="center"/>
      <protection hidden="1"/>
    </xf>
    <xf numFmtId="2" fontId="0" fillId="4" borderId="16"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2" fontId="0" fillId="4" borderId="14" xfId="0" applyNumberFormat="1" applyFill="1" applyBorder="1" applyAlignment="1">
      <alignment horizontal="center"/>
    </xf>
    <xf numFmtId="166" fontId="0" fillId="4" borderId="14" xfId="0" applyNumberFormat="1" applyFill="1" applyBorder="1" applyAlignment="1">
      <alignment horizontal="center"/>
    </xf>
    <xf numFmtId="166" fontId="0" fillId="4" borderId="15" xfId="0" applyNumberFormat="1" applyFill="1" applyBorder="1" applyAlignment="1">
      <alignment horizontal="center"/>
    </xf>
    <xf numFmtId="13" fontId="0" fillId="4" borderId="14" xfId="0" applyNumberFormat="1" applyFont="1" applyFill="1" applyBorder="1" applyAlignment="1">
      <alignment horizontal="center"/>
    </xf>
    <xf numFmtId="0" fontId="0" fillId="4" borderId="15" xfId="0" applyFont="1" applyFill="1" applyBorder="1" applyAlignment="1">
      <alignment horizontal="center"/>
    </xf>
    <xf numFmtId="0" fontId="11" fillId="0" borderId="0" xfId="0" applyFont="1" applyAlignment="1">
      <alignment horizontal="center"/>
    </xf>
    <xf numFmtId="13" fontId="0" fillId="9" borderId="22" xfId="0" applyNumberFormat="1" applyFont="1" applyFill="1" applyBorder="1" applyAlignment="1">
      <alignment horizontal="center"/>
    </xf>
    <xf numFmtId="0" fontId="0" fillId="9" borderId="4" xfId="0" applyFont="1" applyFill="1" applyBorder="1" applyAlignment="1">
      <alignment horizontal="center"/>
    </xf>
    <xf numFmtId="166" fontId="0" fillId="9" borderId="22" xfId="0" applyNumberFormat="1" applyFont="1" applyFill="1" applyBorder="1" applyAlignment="1">
      <alignment horizontal="center"/>
    </xf>
    <xf numFmtId="166" fontId="0" fillId="9" borderId="3" xfId="0" applyNumberFormat="1" applyFont="1" applyFill="1" applyBorder="1" applyAlignment="1">
      <alignment horizontal="center"/>
    </xf>
    <xf numFmtId="166" fontId="0" fillId="9" borderId="4" xfId="0" applyNumberFormat="1" applyFont="1" applyFill="1" applyBorder="1" applyAlignment="1">
      <alignment horizontal="center"/>
    </xf>
    <xf numFmtId="0" fontId="1" fillId="0" borderId="42" xfId="0" applyFont="1" applyBorder="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1" fillId="0" borderId="0" xfId="0" applyFont="1" applyAlignment="1">
      <alignment horizontal="left"/>
    </xf>
    <xf numFmtId="0" fontId="11" fillId="0" borderId="0" xfId="0" applyFont="1" applyAlignment="1">
      <alignment horizontal="center" vertical="center"/>
    </xf>
    <xf numFmtId="0" fontId="3" fillId="0" borderId="0" xfId="20" applyFont="1" applyAlignment="1">
      <alignment horizontal="left"/>
    </xf>
    <xf numFmtId="0" fontId="3" fillId="0" borderId="0" xfId="20"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Air Pressure Vs. Altitude</a:t>
            </a:r>
          </a:p>
        </c:rich>
      </c:tx>
      <c:layout/>
      <c:spPr>
        <a:noFill/>
        <a:ln>
          <a:noFill/>
        </a:ln>
      </c:spPr>
    </c:title>
    <c:plotArea>
      <c:layout/>
      <c:scatterChart>
        <c:scatterStyle val="lineMarker"/>
        <c:varyColors val="0"/>
        <c:ser>
          <c:idx val="0"/>
          <c:order val="0"/>
          <c:tx>
            <c:strRef>
              <c:f>'Turbocharging Formulas'!$B$99</c:f>
              <c:strCache>
                <c:ptCount val="1"/>
                <c:pt idx="0">
                  <c:v>Air press. In.Hg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'Turbocharging Formulas'!$A$100:$A$140</c:f>
              <c:numCache>
                <c:ptCount val="4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numCache>
            </c:numRef>
          </c:xVal>
          <c:yVal>
            <c:numRef>
              <c:f>'Turbocharging Formulas'!$B$100:$B$140</c:f>
              <c:numCache>
                <c:ptCount val="41"/>
                <c:pt idx="0">
                  <c:v>29.92</c:v>
                </c:pt>
                <c:pt idx="1">
                  <c:v>28.86</c:v>
                </c:pt>
                <c:pt idx="2">
                  <c:v>27.82</c:v>
                </c:pt>
                <c:pt idx="3">
                  <c:v>26.81</c:v>
                </c:pt>
                <c:pt idx="4">
                  <c:v>25.84</c:v>
                </c:pt>
                <c:pt idx="5">
                  <c:v>24.9</c:v>
                </c:pt>
                <c:pt idx="6">
                  <c:v>23.98</c:v>
                </c:pt>
                <c:pt idx="7">
                  <c:v>23.09</c:v>
                </c:pt>
                <c:pt idx="8">
                  <c:v>22.23</c:v>
                </c:pt>
                <c:pt idx="9">
                  <c:v>21.39</c:v>
                </c:pt>
                <c:pt idx="10">
                  <c:v>20.59</c:v>
                </c:pt>
                <c:pt idx="11">
                  <c:v>19.8</c:v>
                </c:pt>
                <c:pt idx="12">
                  <c:v>19.03</c:v>
                </c:pt>
                <c:pt idx="13">
                  <c:v>18.3</c:v>
                </c:pt>
                <c:pt idx="14">
                  <c:v>17.58</c:v>
                </c:pt>
                <c:pt idx="15">
                  <c:v>16.89</c:v>
                </c:pt>
                <c:pt idx="16">
                  <c:v>16.22</c:v>
                </c:pt>
                <c:pt idx="17">
                  <c:v>15.58</c:v>
                </c:pt>
                <c:pt idx="18">
                  <c:v>14.95</c:v>
                </c:pt>
                <c:pt idx="19">
                  <c:v>14.35</c:v>
                </c:pt>
                <c:pt idx="20">
                  <c:v>13.76</c:v>
                </c:pt>
                <c:pt idx="21">
                  <c:v>13.2</c:v>
                </c:pt>
                <c:pt idx="22">
                  <c:v>12.65</c:v>
                </c:pt>
                <c:pt idx="23">
                  <c:v>12.12</c:v>
                </c:pt>
                <c:pt idx="24">
                  <c:v>11.61</c:v>
                </c:pt>
                <c:pt idx="25">
                  <c:v>11.12</c:v>
                </c:pt>
                <c:pt idx="26">
                  <c:v>10.64</c:v>
                </c:pt>
                <c:pt idx="27">
                  <c:v>10.18</c:v>
                </c:pt>
                <c:pt idx="28">
                  <c:v>9.741</c:v>
                </c:pt>
                <c:pt idx="29">
                  <c:v>9.314</c:v>
                </c:pt>
                <c:pt idx="30">
                  <c:v>8.903</c:v>
                </c:pt>
                <c:pt idx="31">
                  <c:v>8.506</c:v>
                </c:pt>
                <c:pt idx="32">
                  <c:v>8.124</c:v>
                </c:pt>
                <c:pt idx="33">
                  <c:v>7.756</c:v>
                </c:pt>
                <c:pt idx="34">
                  <c:v>7.401</c:v>
                </c:pt>
                <c:pt idx="35">
                  <c:v>7.06</c:v>
                </c:pt>
                <c:pt idx="36">
                  <c:v>6.732</c:v>
                </c:pt>
                <c:pt idx="37">
                  <c:v>6.417</c:v>
                </c:pt>
                <c:pt idx="38">
                  <c:v>6.117</c:v>
                </c:pt>
                <c:pt idx="39">
                  <c:v>5.831</c:v>
                </c:pt>
                <c:pt idx="40">
                  <c:v>5.558</c:v>
                </c:pt>
              </c:numCache>
            </c:numRef>
          </c:yVal>
          <c:smooth val="0"/>
        </c:ser>
        <c:ser>
          <c:idx val="1"/>
          <c:order val="1"/>
          <c:tx>
            <c:strRef>
              <c:f>'Turbocharging Formulas'!$C$99</c:f>
              <c:strCache>
                <c:ptCount val="1"/>
                <c:pt idx="0">
                  <c:v>Air press. PSI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'Turbocharging Formulas'!$A$100:$A$140</c:f>
              <c:numCache>
                <c:ptCount val="4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numCache>
            </c:numRef>
          </c:xVal>
          <c:yVal>
            <c:numRef>
              <c:f>'Turbocharging Formulas'!$C$100:$C$140</c:f>
              <c:numCache>
                <c:ptCount val="41"/>
                <c:pt idx="0">
                  <c:v>14.7</c:v>
                </c:pt>
                <c:pt idx="1">
                  <c:v>14.2</c:v>
                </c:pt>
                <c:pt idx="2">
                  <c:v>13.7</c:v>
                </c:pt>
                <c:pt idx="3">
                  <c:v>13.2</c:v>
                </c:pt>
                <c:pt idx="4">
                  <c:v>12.7</c:v>
                </c:pt>
                <c:pt idx="5">
                  <c:v>12.2</c:v>
                </c:pt>
                <c:pt idx="6">
                  <c:v>11.8</c:v>
                </c:pt>
                <c:pt idx="7">
                  <c:v>11.3</c:v>
                </c:pt>
                <c:pt idx="8">
                  <c:v>10.9</c:v>
                </c:pt>
                <c:pt idx="9">
                  <c:v>10.5</c:v>
                </c:pt>
                <c:pt idx="10">
                  <c:v>10.1</c:v>
                </c:pt>
                <c:pt idx="11">
                  <c:v>9.7</c:v>
                </c:pt>
                <c:pt idx="12">
                  <c:v>9.3</c:v>
                </c:pt>
                <c:pt idx="13">
                  <c:v>9</c:v>
                </c:pt>
                <c:pt idx="14">
                  <c:v>8.6</c:v>
                </c:pt>
                <c:pt idx="15">
                  <c:v>8.3</c:v>
                </c:pt>
                <c:pt idx="16">
                  <c:v>8</c:v>
                </c:pt>
                <c:pt idx="17">
                  <c:v>7.7</c:v>
                </c:pt>
                <c:pt idx="18">
                  <c:v>7.3</c:v>
                </c:pt>
                <c:pt idx="19">
                  <c:v>7</c:v>
                </c:pt>
                <c:pt idx="20">
                  <c:v>6.8</c:v>
                </c:pt>
                <c:pt idx="21">
                  <c:v>6.5</c:v>
                </c:pt>
                <c:pt idx="22">
                  <c:v>6.2</c:v>
                </c:pt>
                <c:pt idx="23">
                  <c:v>6</c:v>
                </c:pt>
                <c:pt idx="24">
                  <c:v>5.7</c:v>
                </c:pt>
                <c:pt idx="25">
                  <c:v>5.5</c:v>
                </c:pt>
                <c:pt idx="26">
                  <c:v>5.2</c:v>
                </c:pt>
                <c:pt idx="27">
                  <c:v>5</c:v>
                </c:pt>
                <c:pt idx="28">
                  <c:v>4.8</c:v>
                </c:pt>
                <c:pt idx="29">
                  <c:v>4.6</c:v>
                </c:pt>
                <c:pt idx="30">
                  <c:v>4.4</c:v>
                </c:pt>
                <c:pt idx="31">
                  <c:v>4.2</c:v>
                </c:pt>
                <c:pt idx="32">
                  <c:v>4</c:v>
                </c:pt>
                <c:pt idx="33">
                  <c:v>3.8</c:v>
                </c:pt>
                <c:pt idx="34">
                  <c:v>3.6</c:v>
                </c:pt>
                <c:pt idx="35">
                  <c:v>3.5</c:v>
                </c:pt>
                <c:pt idx="36">
                  <c:v>3.3</c:v>
                </c:pt>
                <c:pt idx="37">
                  <c:v>3.2</c:v>
                </c:pt>
                <c:pt idx="38">
                  <c:v>3</c:v>
                </c:pt>
                <c:pt idx="39">
                  <c:v>2.9</c:v>
                </c:pt>
                <c:pt idx="40">
                  <c:v>2.7</c:v>
                </c:pt>
              </c:numCache>
            </c:numRef>
          </c:yVal>
          <c:smooth val="0"/>
        </c:ser>
        <c:axId val="14970699"/>
        <c:axId val="518564"/>
      </c:scatterChart>
      <c:valAx>
        <c:axId val="14970699"/>
        <c:scaling>
          <c:orientation val="minMax"/>
        </c:scaling>
        <c:axPos val="b"/>
        <c:title>
          <c:tx>
            <c:rich>
              <a:bodyPr vert="horz" rot="0" anchor="ctr"/>
              <a:lstStyle/>
              <a:p>
                <a:pPr algn="ctr">
                  <a:defRPr/>
                </a:pPr>
                <a:r>
                  <a:rPr lang="en-US" cap="none" sz="1200" b="1" i="0" u="none" baseline="0">
                    <a:latin typeface="Arial"/>
                    <a:ea typeface="Arial"/>
                    <a:cs typeface="Arial"/>
                  </a:rPr>
                  <a:t>Altitude</a:t>
                </a:r>
              </a:p>
            </c:rich>
          </c:tx>
          <c:layout/>
          <c:overlay val="0"/>
          <c:spPr>
            <a:noFill/>
            <a:ln>
              <a:noFill/>
            </a:ln>
          </c:spPr>
        </c:title>
        <c:majorGridlines/>
        <c:delete val="0"/>
        <c:numFmt formatCode="General" sourceLinked="1"/>
        <c:majorTickMark val="out"/>
        <c:minorTickMark val="none"/>
        <c:tickLblPos val="nextTo"/>
        <c:crossAx val="518564"/>
        <c:crosses val="autoZero"/>
        <c:crossBetween val="midCat"/>
        <c:dispUnits/>
      </c:valAx>
      <c:valAx>
        <c:axId val="518564"/>
        <c:scaling>
          <c:orientation val="minMax"/>
        </c:scaling>
        <c:axPos val="l"/>
        <c:majorGridlines/>
        <c:delete val="0"/>
        <c:numFmt formatCode="General" sourceLinked="1"/>
        <c:majorTickMark val="out"/>
        <c:minorTickMark val="none"/>
        <c:tickLblPos val="nextTo"/>
        <c:crossAx val="149706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7810500"/>
    <xdr:graphicFrame>
      <xdr:nvGraphicFramePr>
        <xdr:cNvPr id="1" name="Shape 1025"/>
        <xdr:cNvGraphicFramePr/>
      </xdr:nvGraphicFramePr>
      <xdr:xfrm>
        <a:off x="0" y="0"/>
        <a:ext cx="12011025" cy="7810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eocities.com/MotorCity/Speedway/1641/" TargetMode="External" /><Relationship Id="rId2" Type="http://schemas.openxmlformats.org/officeDocument/2006/relationships/comments" Target="../comments13.xml" /><Relationship Id="rId3" Type="http://schemas.openxmlformats.org/officeDocument/2006/relationships/vmlDrawing" Target="../drawings/vmlDrawing5.v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berkley.com/search/index.htm" TargetMode="External" /><Relationship Id="rId2" Type="http://schemas.openxmlformats.org/officeDocument/2006/relationships/hyperlink" Target="http://www.berkley.com/search/index.htm" TargetMode="External" /><Relationship Id="rId3" Type="http://schemas.openxmlformats.org/officeDocument/2006/relationships/hyperlink" Target="http://www.berkley.com/search/index.htm" TargetMode="External" /><Relationship Id="rId4" Type="http://schemas.openxmlformats.org/officeDocument/2006/relationships/hyperlink" Target="http://www.berkley.com/search/index.htm" TargetMode="External" /><Relationship Id="rId5" Type="http://schemas.openxmlformats.org/officeDocument/2006/relationships/hyperlink" Target="http://hotvws.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4"/>
  <sheetViews>
    <sheetView zoomScale="75" zoomScaleNormal="75" workbookViewId="0" topLeftCell="A1">
      <selection activeCell="A1" sqref="A1"/>
    </sheetView>
  </sheetViews>
  <sheetFormatPr defaultColWidth="9.140625" defaultRowHeight="12.75"/>
  <sheetData>
    <row r="2" spans="1:12" s="94" customFormat="1" ht="27">
      <c r="A2" s="264" t="s">
        <v>544</v>
      </c>
      <c r="B2" s="264"/>
      <c r="C2" s="264"/>
      <c r="D2" s="264"/>
      <c r="E2" s="264"/>
      <c r="F2" s="264"/>
      <c r="G2" s="264"/>
      <c r="H2" s="264"/>
      <c r="I2" s="264"/>
      <c r="J2" s="264"/>
      <c r="K2" s="264"/>
      <c r="L2" s="264"/>
    </row>
    <row r="3" ht="12.75">
      <c r="A3" t="s">
        <v>727</v>
      </c>
    </row>
    <row r="5" spans="1:12" ht="15">
      <c r="A5" s="93" t="s">
        <v>490</v>
      </c>
      <c r="L5" s="17"/>
    </row>
    <row r="6" spans="1:12" ht="15">
      <c r="A6" s="93" t="s">
        <v>491</v>
      </c>
      <c r="L6" s="17"/>
    </row>
    <row r="7" spans="1:12" ht="15">
      <c r="A7" s="93" t="s">
        <v>492</v>
      </c>
      <c r="L7" s="17"/>
    </row>
    <row r="8" spans="1:12" ht="15">
      <c r="A8" s="93" t="s">
        <v>493</v>
      </c>
      <c r="L8" s="17"/>
    </row>
    <row r="9" spans="1:12" ht="15">
      <c r="A9" s="93" t="s">
        <v>494</v>
      </c>
      <c r="L9" s="17"/>
    </row>
    <row r="10" spans="1:12" ht="15">
      <c r="A10" s="93" t="s">
        <v>495</v>
      </c>
      <c r="L10" s="17"/>
    </row>
    <row r="11" spans="1:12" ht="15">
      <c r="A11" s="93"/>
      <c r="L11" s="17"/>
    </row>
    <row r="12" spans="1:12" ht="15">
      <c r="A12" s="93"/>
      <c r="L12" s="17"/>
    </row>
    <row r="13" spans="1:12" ht="15">
      <c r="A13" s="93"/>
      <c r="L13" s="17"/>
    </row>
    <row r="14" ht="18">
      <c r="A14" s="92" t="s">
        <v>228</v>
      </c>
    </row>
    <row r="15" ht="12.75">
      <c r="A15" s="13"/>
    </row>
    <row r="16" spans="1:10" ht="12.75">
      <c r="A16" s="24" t="s">
        <v>229</v>
      </c>
      <c r="B16" s="6"/>
      <c r="C16" s="6"/>
      <c r="D16" s="6"/>
      <c r="E16" s="6"/>
      <c r="F16" s="6"/>
      <c r="J16" s="17"/>
    </row>
    <row r="17" spans="1:10" ht="12.75">
      <c r="A17" s="18"/>
      <c r="B17" s="7"/>
      <c r="C17" s="7"/>
      <c r="D17" s="7"/>
      <c r="E17" s="7"/>
      <c r="F17" s="7"/>
      <c r="J17" s="17"/>
    </row>
    <row r="18" spans="1:10" ht="12.75">
      <c r="A18" s="122" t="s">
        <v>578</v>
      </c>
      <c r="B18" s="123"/>
      <c r="C18" s="123"/>
      <c r="D18" s="123"/>
      <c r="E18" s="123"/>
      <c r="F18" s="123"/>
      <c r="G18" s="123"/>
      <c r="J18" s="17"/>
    </row>
    <row r="19" ht="12.75">
      <c r="J19" s="17"/>
    </row>
    <row r="20" spans="1:10" ht="12.75">
      <c r="A20" s="23" t="s">
        <v>496</v>
      </c>
      <c r="B20" s="21"/>
      <c r="C20" s="21"/>
      <c r="D20" s="21"/>
      <c r="J20" s="17"/>
    </row>
    <row r="21" spans="1:10" ht="12.75">
      <c r="A21" s="18"/>
      <c r="B21" s="7"/>
      <c r="C21" s="7"/>
      <c r="D21" s="7"/>
      <c r="J21" s="17"/>
    </row>
    <row r="22" spans="1:10" ht="12.75">
      <c r="A22" s="88" t="s">
        <v>485</v>
      </c>
      <c r="B22" s="43"/>
      <c r="C22" s="43"/>
      <c r="D22" s="43"/>
      <c r="E22" s="43"/>
      <c r="F22" s="43"/>
      <c r="G22" s="43"/>
      <c r="J22" s="17"/>
    </row>
    <row r="23" spans="1:10" ht="12.75">
      <c r="A23" s="18"/>
      <c r="B23" s="7"/>
      <c r="C23" s="7"/>
      <c r="D23" s="7"/>
      <c r="J23" s="17"/>
    </row>
    <row r="24" spans="1:14" ht="12.75">
      <c r="A24" s="89" t="s">
        <v>486</v>
      </c>
      <c r="B24" s="61"/>
      <c r="C24" s="61"/>
      <c r="D24" s="61"/>
      <c r="E24" s="61"/>
      <c r="F24" s="61"/>
      <c r="G24" s="61"/>
      <c r="H24" s="61"/>
      <c r="I24" s="61"/>
      <c r="J24" s="66"/>
      <c r="K24" s="61"/>
      <c r="N24" s="17"/>
    </row>
    <row r="25" spans="10:14" ht="12.75">
      <c r="J25" s="17"/>
      <c r="N25" s="17"/>
    </row>
    <row r="26" ht="12.75">
      <c r="A26" s="13"/>
    </row>
    <row r="27" spans="1:12" ht="12.75">
      <c r="A27" s="13" t="s">
        <v>489</v>
      </c>
      <c r="J27" s="17"/>
      <c r="L27" s="17"/>
    </row>
    <row r="28" ht="12.75">
      <c r="L28" s="17"/>
    </row>
    <row r="29" spans="1:2" ht="12.75">
      <c r="A29" t="s">
        <v>230</v>
      </c>
      <c r="B29" s="200" t="s">
        <v>231</v>
      </c>
    </row>
    <row r="30" ht="12.75">
      <c r="B30" s="200" t="s">
        <v>497</v>
      </c>
    </row>
    <row r="31" ht="12.75">
      <c r="B31" s="200" t="s">
        <v>579</v>
      </c>
    </row>
    <row r="32" ht="12.75">
      <c r="B32" s="200" t="s">
        <v>654</v>
      </c>
    </row>
    <row r="33" ht="12.75">
      <c r="B33" s="200" t="s">
        <v>655</v>
      </c>
    </row>
    <row r="34" ht="12.75">
      <c r="B34" s="124" t="s">
        <v>724</v>
      </c>
    </row>
  </sheetData>
  <mergeCells count="1">
    <mergeCell ref="A2:L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5"/>
  <dimension ref="A2:L28"/>
  <sheetViews>
    <sheetView zoomScale="75" zoomScaleNormal="75" workbookViewId="0" topLeftCell="A1">
      <selection activeCell="A1" sqref="A1"/>
    </sheetView>
  </sheetViews>
  <sheetFormatPr defaultColWidth="9.140625" defaultRowHeight="12.75"/>
  <cols>
    <col min="9" max="9" width="15.28125" style="0" customWidth="1"/>
  </cols>
  <sheetData>
    <row r="2" spans="1:12" ht="15">
      <c r="A2" s="349" t="s">
        <v>639</v>
      </c>
      <c r="B2" s="349"/>
      <c r="C2" s="349"/>
      <c r="D2" s="349"/>
      <c r="E2" s="349"/>
      <c r="F2" s="349"/>
      <c r="G2" s="349"/>
      <c r="H2" s="349"/>
      <c r="I2" s="349"/>
      <c r="J2" s="349"/>
      <c r="K2" s="349"/>
      <c r="L2" s="349"/>
    </row>
    <row r="3" ht="15">
      <c r="B3" s="202" t="s">
        <v>640</v>
      </c>
    </row>
    <row r="5" ht="12.75">
      <c r="A5" s="5" t="s">
        <v>52</v>
      </c>
    </row>
    <row r="7" spans="1:9" ht="13.5" thickBot="1">
      <c r="A7" s="313" t="s">
        <v>53</v>
      </c>
      <c r="B7" s="313"/>
      <c r="H7" s="268" t="s">
        <v>606</v>
      </c>
      <c r="I7" s="268"/>
    </row>
    <row r="8" spans="1:9" ht="13.5" thickBot="1">
      <c r="A8" s="253">
        <v>0.75</v>
      </c>
      <c r="B8" s="254"/>
      <c r="H8" s="346">
        <f>POWER((A8/2),2)*PI()</f>
        <v>0.441786466911065</v>
      </c>
      <c r="I8" s="348"/>
    </row>
    <row r="10" ht="12.75">
      <c r="A10" s="5" t="s">
        <v>55</v>
      </c>
    </row>
    <row r="12" spans="1:9" ht="13.5" thickBot="1">
      <c r="A12" s="313" t="s">
        <v>607</v>
      </c>
      <c r="B12" s="313"/>
      <c r="C12" s="313" t="s">
        <v>606</v>
      </c>
      <c r="D12" s="313"/>
      <c r="H12" s="268" t="s">
        <v>552</v>
      </c>
      <c r="I12" s="268"/>
    </row>
    <row r="13" spans="1:9" ht="13.5" thickBot="1">
      <c r="A13" s="253">
        <v>400</v>
      </c>
      <c r="B13" s="254"/>
      <c r="C13" s="350">
        <f>H8</f>
        <v>0.44</v>
      </c>
      <c r="D13" s="351"/>
      <c r="H13" s="346">
        <f>A13/C13</f>
        <v>909.090909090909</v>
      </c>
      <c r="I13" s="348"/>
    </row>
    <row r="15" ht="12.75">
      <c r="A15" s="5" t="s">
        <v>56</v>
      </c>
    </row>
    <row r="17" spans="1:9" ht="13.5" thickBot="1">
      <c r="A17" s="313" t="s">
        <v>608</v>
      </c>
      <c r="B17" s="313"/>
      <c r="C17" s="313"/>
      <c r="D17" s="313" t="s">
        <v>609</v>
      </c>
      <c r="E17" s="313"/>
      <c r="F17" s="313" t="s">
        <v>610</v>
      </c>
      <c r="G17" s="313"/>
      <c r="H17" s="268" t="s">
        <v>611</v>
      </c>
      <c r="I17" s="268"/>
    </row>
    <row r="18" spans="1:9" ht="13.5" thickBot="1">
      <c r="A18" s="253">
        <v>400</v>
      </c>
      <c r="B18" s="290"/>
      <c r="C18" s="254"/>
      <c r="D18" s="253">
        <v>2</v>
      </c>
      <c r="E18" s="254"/>
      <c r="F18" s="253">
        <v>4</v>
      </c>
      <c r="G18" s="290"/>
      <c r="H18" s="346">
        <f>PRODUCT(A18,F18)/D18</f>
        <v>800</v>
      </c>
      <c r="I18" s="348"/>
    </row>
    <row r="20" ht="12.75">
      <c r="A20" s="5" t="s">
        <v>57</v>
      </c>
    </row>
    <row r="22" spans="1:10" ht="13.5" thickBot="1">
      <c r="A22" s="313" t="s">
        <v>606</v>
      </c>
      <c r="B22" s="313"/>
      <c r="C22" s="313" t="s">
        <v>612</v>
      </c>
      <c r="D22" s="313"/>
      <c r="E22" s="313"/>
      <c r="H22" s="310" t="s">
        <v>58</v>
      </c>
      <c r="I22" s="310"/>
      <c r="J22" s="310"/>
    </row>
    <row r="23" spans="1:10" ht="13.5" thickBot="1">
      <c r="A23" s="253">
        <v>2</v>
      </c>
      <c r="B23" s="254"/>
      <c r="C23" s="253">
        <v>5</v>
      </c>
      <c r="D23" s="290"/>
      <c r="E23" s="254"/>
      <c r="H23" s="346">
        <f>PRODUCT(A23,C23)</f>
        <v>10</v>
      </c>
      <c r="I23" s="347"/>
      <c r="J23" s="348"/>
    </row>
    <row r="25" ht="12.75">
      <c r="A25" s="5" t="s">
        <v>59</v>
      </c>
    </row>
    <row r="27" spans="1:10" ht="13.5" thickBot="1">
      <c r="A27" s="313" t="s">
        <v>609</v>
      </c>
      <c r="B27" s="313"/>
      <c r="C27" s="313" t="s">
        <v>610</v>
      </c>
      <c r="D27" s="313"/>
      <c r="E27" s="313" t="s">
        <v>613</v>
      </c>
      <c r="F27" s="313"/>
      <c r="G27" s="313"/>
      <c r="H27" s="310" t="s">
        <v>614</v>
      </c>
      <c r="I27" s="310"/>
      <c r="J27" s="310"/>
    </row>
    <row r="28" spans="1:10" ht="13.5" thickBot="1">
      <c r="A28" s="253">
        <v>2</v>
      </c>
      <c r="B28" s="254"/>
      <c r="C28" s="253">
        <v>4</v>
      </c>
      <c r="D28" s="254"/>
      <c r="E28" s="253">
        <v>1</v>
      </c>
      <c r="F28" s="290"/>
      <c r="G28" s="290"/>
      <c r="H28" s="346">
        <f>E28*A28/C28</f>
        <v>0.5</v>
      </c>
      <c r="I28" s="347"/>
      <c r="J28" s="348"/>
    </row>
  </sheetData>
  <mergeCells count="33">
    <mergeCell ref="C28:D28"/>
    <mergeCell ref="A28:B28"/>
    <mergeCell ref="E28:G28"/>
    <mergeCell ref="A27:B27"/>
    <mergeCell ref="C27:D27"/>
    <mergeCell ref="A22:B22"/>
    <mergeCell ref="C22:E22"/>
    <mergeCell ref="C23:E23"/>
    <mergeCell ref="E27:G27"/>
    <mergeCell ref="A23:B23"/>
    <mergeCell ref="F17:G17"/>
    <mergeCell ref="F18:G18"/>
    <mergeCell ref="H17:I17"/>
    <mergeCell ref="H18:I18"/>
    <mergeCell ref="A18:C18"/>
    <mergeCell ref="A17:C17"/>
    <mergeCell ref="D17:E17"/>
    <mergeCell ref="D18:E18"/>
    <mergeCell ref="H12:I12"/>
    <mergeCell ref="H13:I13"/>
    <mergeCell ref="A12:B12"/>
    <mergeCell ref="C12:D12"/>
    <mergeCell ref="A13:B13"/>
    <mergeCell ref="C13:D13"/>
    <mergeCell ref="A2:L2"/>
    <mergeCell ref="A7:B7"/>
    <mergeCell ref="A8:B8"/>
    <mergeCell ref="H7:I7"/>
    <mergeCell ref="H8:I8"/>
    <mergeCell ref="H22:J22"/>
    <mergeCell ref="H23:J23"/>
    <mergeCell ref="H28:J28"/>
    <mergeCell ref="H27:J27"/>
  </mergeCells>
  <printOptions/>
  <pageMargins left="0.75" right="0.75" top="1" bottom="1" header="0.5" footer="0.5"/>
  <pageSetup horizontalDpi="300" verticalDpi="300" orientation="landscape" r:id="rId1"/>
</worksheet>
</file>

<file path=xl/worksheets/sheet11.xml><?xml version="1.0" encoding="utf-8"?>
<worksheet xmlns="http://schemas.openxmlformats.org/spreadsheetml/2006/main" xmlns:r="http://schemas.openxmlformats.org/officeDocument/2006/relationships">
  <sheetPr codeName="Sheet6"/>
  <dimension ref="A2:G44"/>
  <sheetViews>
    <sheetView zoomScale="75" zoomScaleNormal="75" workbookViewId="0" topLeftCell="A1">
      <selection activeCell="A1" sqref="A1"/>
    </sheetView>
  </sheetViews>
  <sheetFormatPr defaultColWidth="9.140625" defaultRowHeight="12.75"/>
  <cols>
    <col min="7" max="7" width="16.57421875" style="0" customWidth="1"/>
  </cols>
  <sheetData>
    <row r="2" spans="1:2" ht="12.75">
      <c r="A2" s="18" t="s">
        <v>624</v>
      </c>
      <c r="B2" s="7"/>
    </row>
    <row r="4" spans="1:7" ht="13.5" thickBot="1">
      <c r="A4" s="313" t="s">
        <v>42</v>
      </c>
      <c r="B4" s="313"/>
      <c r="C4" s="313" t="s">
        <v>60</v>
      </c>
      <c r="D4" s="313"/>
      <c r="F4" s="309" t="s">
        <v>553</v>
      </c>
      <c r="G4" s="309"/>
    </row>
    <row r="5" spans="1:7" ht="13.5" thickBot="1">
      <c r="A5" s="253">
        <v>2020</v>
      </c>
      <c r="B5" s="254"/>
      <c r="C5" s="253">
        <v>130</v>
      </c>
      <c r="D5" s="254"/>
      <c r="F5" s="346">
        <f>POWER(A5/C5,1/3)*5.825</f>
        <v>14.5355655981958</v>
      </c>
      <c r="G5" s="348"/>
    </row>
    <row r="6" spans="1:7" ht="13.5" thickBot="1">
      <c r="A6" s="315">
        <f>'Base Data'!G27</f>
        <v>3292</v>
      </c>
      <c r="B6" s="316"/>
      <c r="C6" s="253">
        <v>275</v>
      </c>
      <c r="D6" s="254"/>
      <c r="F6" s="346">
        <f>POWER(A6/C6,1/3)*5.825</f>
        <v>13.3251357039566</v>
      </c>
      <c r="G6" s="348"/>
    </row>
    <row r="8" ht="12.75">
      <c r="A8" s="5" t="s">
        <v>625</v>
      </c>
    </row>
    <row r="10" spans="1:7" ht="13.5" thickBot="1">
      <c r="A10" s="313" t="s">
        <v>42</v>
      </c>
      <c r="B10" s="313"/>
      <c r="C10" s="313" t="s">
        <v>61</v>
      </c>
      <c r="D10" s="313"/>
      <c r="F10" s="309" t="s">
        <v>62</v>
      </c>
      <c r="G10" s="309"/>
    </row>
    <row r="11" spans="1:7" ht="13.5" thickBot="1">
      <c r="A11" s="253">
        <v>2000</v>
      </c>
      <c r="B11" s="254"/>
      <c r="C11" s="253">
        <v>4.02</v>
      </c>
      <c r="D11" s="254"/>
      <c r="F11" s="346">
        <f>A11/POWER((C11/5.825),3)</f>
        <v>6084.70637287191</v>
      </c>
      <c r="G11" s="348"/>
    </row>
    <row r="12" spans="1:7" ht="13.5" thickBot="1">
      <c r="A12" s="315">
        <f>A6</f>
        <v>3292</v>
      </c>
      <c r="B12" s="316"/>
      <c r="C12" s="253">
        <v>10</v>
      </c>
      <c r="D12" s="254"/>
      <c r="F12" s="346">
        <f>A12/POWER((C12/5.825),3)</f>
        <v>650.6502719375</v>
      </c>
      <c r="G12" s="348"/>
    </row>
    <row r="14" spans="1:7" ht="13.5" thickBot="1">
      <c r="A14" s="313" t="s">
        <v>60</v>
      </c>
      <c r="B14" s="313"/>
      <c r="C14" s="313" t="s">
        <v>61</v>
      </c>
      <c r="D14" s="313"/>
      <c r="F14" s="309" t="s">
        <v>63</v>
      </c>
      <c r="G14" s="309"/>
    </row>
    <row r="15" spans="1:7" ht="13.5" thickBot="1">
      <c r="A15" s="253">
        <v>245</v>
      </c>
      <c r="B15" s="254"/>
      <c r="C15" s="253">
        <v>14.05</v>
      </c>
      <c r="D15" s="254"/>
      <c r="F15" s="346">
        <f>POWER(C15/5.825,3)*A15</f>
        <v>3438.01104832609</v>
      </c>
      <c r="G15" s="348"/>
    </row>
    <row r="17" ht="12.75">
      <c r="A17" s="5" t="s">
        <v>626</v>
      </c>
    </row>
    <row r="19" spans="1:7" ht="13.5" thickBot="1">
      <c r="A19" s="313" t="s">
        <v>42</v>
      </c>
      <c r="B19" s="313"/>
      <c r="C19" s="313" t="s">
        <v>60</v>
      </c>
      <c r="D19" s="313"/>
      <c r="F19" s="309" t="s">
        <v>630</v>
      </c>
      <c r="G19" s="309"/>
    </row>
    <row r="20" spans="1:7" ht="13.5" thickBot="1">
      <c r="A20" s="253">
        <v>2000</v>
      </c>
      <c r="B20" s="254"/>
      <c r="C20" s="253">
        <v>395.29</v>
      </c>
      <c r="D20" s="254"/>
      <c r="F20" s="346">
        <f>POWER(C20/A20,1/3)*234</f>
        <v>136.304795262084</v>
      </c>
      <c r="G20" s="348"/>
    </row>
    <row r="22" ht="12.75">
      <c r="A22" s="5" t="s">
        <v>627</v>
      </c>
    </row>
    <row r="24" spans="1:7" ht="13.5" thickBot="1">
      <c r="A24" s="313" t="s">
        <v>42</v>
      </c>
      <c r="B24" s="313"/>
      <c r="C24" s="313" t="s">
        <v>64</v>
      </c>
      <c r="D24" s="313"/>
      <c r="F24" s="309" t="s">
        <v>629</v>
      </c>
      <c r="G24" s="309"/>
    </row>
    <row r="25" spans="1:7" ht="13.5" thickBot="1">
      <c r="A25" s="253">
        <v>3440</v>
      </c>
      <c r="B25" s="254"/>
      <c r="C25" s="253">
        <v>97</v>
      </c>
      <c r="D25" s="254"/>
      <c r="F25" s="346">
        <f>POWER(C25/234,3)*A25</f>
        <v>245.033844006011</v>
      </c>
      <c r="G25" s="348"/>
    </row>
    <row r="27" spans="1:7" ht="13.5" thickBot="1">
      <c r="A27" s="313" t="s">
        <v>65</v>
      </c>
      <c r="B27" s="313"/>
      <c r="C27" s="313" t="s">
        <v>64</v>
      </c>
      <c r="D27" s="313"/>
      <c r="F27" s="309" t="s">
        <v>628</v>
      </c>
      <c r="G27" s="309"/>
    </row>
    <row r="28" spans="1:7" ht="13.5" thickBot="1">
      <c r="A28" s="253">
        <v>245</v>
      </c>
      <c r="B28" s="254"/>
      <c r="C28" s="253">
        <v>97</v>
      </c>
      <c r="D28" s="254"/>
      <c r="F28" s="346">
        <f>POWER(234/C28,3)*A28</f>
        <v>3439.52486816198</v>
      </c>
      <c r="G28" s="348"/>
    </row>
    <row r="30" ht="12.75">
      <c r="A30" s="5" t="s">
        <v>66</v>
      </c>
    </row>
    <row r="31" ht="12.75">
      <c r="A31" s="5"/>
    </row>
    <row r="32" ht="12.75">
      <c r="A32" s="5" t="s">
        <v>67</v>
      </c>
    </row>
    <row r="33" spans="1:7" ht="13.5" thickBot="1">
      <c r="A33" s="313" t="s">
        <v>68</v>
      </c>
      <c r="B33" s="313"/>
      <c r="C33" s="3" t="s">
        <v>15</v>
      </c>
      <c r="D33" s="3" t="s">
        <v>64</v>
      </c>
      <c r="F33" s="309" t="s">
        <v>69</v>
      </c>
      <c r="G33" s="309"/>
    </row>
    <row r="34" spans="1:7" ht="13.5" thickBot="1">
      <c r="A34" s="253">
        <v>25.66</v>
      </c>
      <c r="B34" s="254"/>
      <c r="C34" s="95">
        <v>5500</v>
      </c>
      <c r="D34" s="95">
        <v>97</v>
      </c>
      <c r="F34" s="346">
        <f>(A34/340)*(C34/D34)</f>
        <v>4.27926015767132</v>
      </c>
      <c r="G34" s="348"/>
    </row>
    <row r="35" ht="12.75">
      <c r="F35" s="8"/>
    </row>
    <row r="36" spans="1:6" ht="12.75">
      <c r="A36" s="5" t="s">
        <v>70</v>
      </c>
      <c r="F36" s="8"/>
    </row>
    <row r="37" spans="1:7" ht="13.5" thickBot="1">
      <c r="A37" s="313" t="s">
        <v>68</v>
      </c>
      <c r="B37" s="313"/>
      <c r="C37" s="3" t="s">
        <v>15</v>
      </c>
      <c r="D37" s="3" t="s">
        <v>64</v>
      </c>
      <c r="F37" s="309" t="s">
        <v>71</v>
      </c>
      <c r="G37" s="309"/>
    </row>
    <row r="38" spans="1:7" ht="13.5" thickBot="1">
      <c r="A38" s="253">
        <v>25.66</v>
      </c>
      <c r="B38" s="254"/>
      <c r="C38" s="95">
        <v>5500</v>
      </c>
      <c r="D38" s="95">
        <v>97</v>
      </c>
      <c r="F38" s="346">
        <f>(A38/335)*(C38/D38)</f>
        <v>4.34312971226342</v>
      </c>
      <c r="G38" s="348"/>
    </row>
    <row r="40" ht="12.75">
      <c r="A40" s="5" t="s">
        <v>72</v>
      </c>
    </row>
    <row r="41" ht="12.75">
      <c r="A41" s="5"/>
    </row>
    <row r="43" spans="1:7" ht="13.5" thickBot="1">
      <c r="A43" s="313" t="s">
        <v>73</v>
      </c>
      <c r="B43" s="313"/>
      <c r="C43" s="313"/>
      <c r="D43" s="313" t="s">
        <v>37</v>
      </c>
      <c r="E43" s="313"/>
      <c r="F43" s="309" t="s">
        <v>71</v>
      </c>
      <c r="G43" s="309"/>
    </row>
    <row r="44" spans="1:7" ht="13.5" thickBot="1">
      <c r="A44" s="253">
        <v>1.34</v>
      </c>
      <c r="B44" s="290"/>
      <c r="C44" s="254"/>
      <c r="D44" s="253">
        <v>4.11</v>
      </c>
      <c r="E44" s="290"/>
      <c r="F44" s="346">
        <f>A44*D44</f>
        <v>5.5074</v>
      </c>
      <c r="G44" s="348"/>
    </row>
  </sheetData>
  <mergeCells count="56">
    <mergeCell ref="F5:G5"/>
    <mergeCell ref="F4:G4"/>
    <mergeCell ref="A6:B6"/>
    <mergeCell ref="C6:D6"/>
    <mergeCell ref="F6:G6"/>
    <mergeCell ref="C4:D4"/>
    <mergeCell ref="C5:D5"/>
    <mergeCell ref="F15:G15"/>
    <mergeCell ref="F14:G14"/>
    <mergeCell ref="F11:G11"/>
    <mergeCell ref="F10:G10"/>
    <mergeCell ref="F12:G12"/>
    <mergeCell ref="F25:G25"/>
    <mergeCell ref="F24:G24"/>
    <mergeCell ref="F20:G20"/>
    <mergeCell ref="F19:G19"/>
    <mergeCell ref="F34:G34"/>
    <mergeCell ref="F33:G33"/>
    <mergeCell ref="F28:G28"/>
    <mergeCell ref="F27:G27"/>
    <mergeCell ref="F44:G44"/>
    <mergeCell ref="F43:G43"/>
    <mergeCell ref="F38:G38"/>
    <mergeCell ref="F37:G37"/>
    <mergeCell ref="A43:C43"/>
    <mergeCell ref="D43:E43"/>
    <mergeCell ref="A44:C44"/>
    <mergeCell ref="D44:E44"/>
    <mergeCell ref="A33:B33"/>
    <mergeCell ref="A34:B34"/>
    <mergeCell ref="A38:B38"/>
    <mergeCell ref="A37:B37"/>
    <mergeCell ref="A25:B25"/>
    <mergeCell ref="C25:D25"/>
    <mergeCell ref="A28:B28"/>
    <mergeCell ref="C28:D28"/>
    <mergeCell ref="A27:B27"/>
    <mergeCell ref="C27:D27"/>
    <mergeCell ref="A24:B24"/>
    <mergeCell ref="C24:D24"/>
    <mergeCell ref="A4:B4"/>
    <mergeCell ref="A5:B5"/>
    <mergeCell ref="A12:B12"/>
    <mergeCell ref="C12:D12"/>
    <mergeCell ref="A19:B19"/>
    <mergeCell ref="C19:D19"/>
    <mergeCell ref="A20:B20"/>
    <mergeCell ref="C20:D20"/>
    <mergeCell ref="A14:B14"/>
    <mergeCell ref="C14:D14"/>
    <mergeCell ref="A15:B15"/>
    <mergeCell ref="C15:D15"/>
    <mergeCell ref="A10:B10"/>
    <mergeCell ref="A11:B11"/>
    <mergeCell ref="C10:D10"/>
    <mergeCell ref="C11:D11"/>
  </mergeCells>
  <printOptions/>
  <pageMargins left="0.75" right="0.75" top="1" bottom="1" header="0.5" footer="0.5"/>
  <pageSetup horizontalDpi="300" verticalDpi="300" orientation="landscape" r:id="rId1"/>
</worksheet>
</file>

<file path=xl/worksheets/sheet12.xml><?xml version="1.0" encoding="utf-8"?>
<worksheet xmlns="http://schemas.openxmlformats.org/spreadsheetml/2006/main" xmlns:r="http://schemas.openxmlformats.org/officeDocument/2006/relationships">
  <sheetPr codeName="Sheet7"/>
  <dimension ref="A2:Q151"/>
  <sheetViews>
    <sheetView zoomScale="75" zoomScaleNormal="75" workbookViewId="0" topLeftCell="A1">
      <selection activeCell="A1" sqref="A1"/>
    </sheetView>
  </sheetViews>
  <sheetFormatPr defaultColWidth="9.140625" defaultRowHeight="12.75"/>
  <cols>
    <col min="2" max="2" width="11.28125" style="0" customWidth="1"/>
    <col min="7" max="7" width="9.8515625" style="0" customWidth="1"/>
    <col min="8" max="8" width="11.57421875" style="0" customWidth="1"/>
    <col min="10" max="10" width="12.421875" style="0" customWidth="1"/>
  </cols>
  <sheetData>
    <row r="2" spans="1:11" ht="15">
      <c r="A2" s="349" t="s">
        <v>641</v>
      </c>
      <c r="B2" s="349"/>
      <c r="C2" s="349"/>
      <c r="D2" s="349"/>
      <c r="E2" s="349"/>
      <c r="F2" s="349"/>
      <c r="G2" s="349"/>
      <c r="H2" s="349"/>
      <c r="I2" s="349"/>
      <c r="J2" s="349"/>
      <c r="K2" s="349"/>
    </row>
    <row r="3" spans="1:11" s="202" customFormat="1" ht="15">
      <c r="A3" s="349" t="s">
        <v>642</v>
      </c>
      <c r="B3" s="349"/>
      <c r="C3" s="349"/>
      <c r="D3" s="349"/>
      <c r="E3" s="349"/>
      <c r="F3" s="349"/>
      <c r="G3" s="349"/>
      <c r="H3" s="349"/>
      <c r="I3" s="349"/>
      <c r="J3" s="349"/>
      <c r="K3" s="349"/>
    </row>
    <row r="4" spans="1:12" s="202" customFormat="1" ht="15">
      <c r="A4" s="349" t="s">
        <v>643</v>
      </c>
      <c r="B4" s="349"/>
      <c r="C4" s="349"/>
      <c r="D4" s="349"/>
      <c r="E4" s="349"/>
      <c r="F4" s="349"/>
      <c r="G4" s="349"/>
      <c r="H4" s="349"/>
      <c r="I4" s="349"/>
      <c r="J4" s="349"/>
      <c r="K4" s="349"/>
      <c r="L4" s="349"/>
    </row>
    <row r="5" spans="1:12" s="202" customFormat="1" ht="15">
      <c r="A5" s="201"/>
      <c r="B5" s="356" t="s">
        <v>954</v>
      </c>
      <c r="C5" s="357"/>
      <c r="D5" s="357"/>
      <c r="E5" s="357"/>
      <c r="F5" s="357"/>
      <c r="G5" s="357"/>
      <c r="H5" s="357"/>
      <c r="I5" s="357"/>
      <c r="J5" s="357"/>
      <c r="K5" s="357"/>
      <c r="L5" s="201"/>
    </row>
    <row r="6" spans="1:11" ht="12.75">
      <c r="A6" s="1"/>
      <c r="B6" s="1"/>
      <c r="C6" s="1"/>
      <c r="D6" s="1"/>
      <c r="E6" s="1"/>
      <c r="F6" s="1"/>
      <c r="G6" s="1"/>
      <c r="H6" s="1"/>
      <c r="I6" s="1"/>
      <c r="J6" s="1"/>
      <c r="K6" s="1"/>
    </row>
    <row r="7" ht="12.75">
      <c r="A7" s="5" t="s">
        <v>456</v>
      </c>
    </row>
    <row r="8" ht="13.5" thickBot="1"/>
    <row r="9" spans="1:11" ht="12.75">
      <c r="A9" s="313" t="s">
        <v>457</v>
      </c>
      <c r="B9" s="358"/>
      <c r="C9" s="60" t="s">
        <v>460</v>
      </c>
      <c r="D9" s="33"/>
      <c r="E9" s="33" t="s">
        <v>458</v>
      </c>
      <c r="F9" s="33"/>
      <c r="G9" s="33" t="s">
        <v>459</v>
      </c>
      <c r="H9" s="33"/>
      <c r="I9" s="33"/>
      <c r="J9" s="33"/>
      <c r="K9" s="34"/>
    </row>
    <row r="10" spans="1:11" ht="13.5" thickBot="1">
      <c r="A10" s="253" t="s">
        <v>469</v>
      </c>
      <c r="B10" s="254"/>
      <c r="C10" s="37" t="str">
        <f>VLOOKUP(A10,A121:F151,2,FALSE)</f>
        <v>15/1600</v>
      </c>
      <c r="D10" s="37"/>
      <c r="E10" s="37">
        <f>VLOOKUP(A10,A121:E151,3,FALSE)</f>
        <v>4.125</v>
      </c>
      <c r="F10" s="37"/>
      <c r="G10" s="37" t="str">
        <f>VLOOKUP(A10,A121:E151,4,FALSE)</f>
        <v>Type 3 with IRS from 8/68</v>
      </c>
      <c r="H10" s="37"/>
      <c r="I10" s="37"/>
      <c r="J10" s="37"/>
      <c r="K10" s="38"/>
    </row>
    <row r="12" ht="12.75">
      <c r="A12" s="5" t="s">
        <v>481</v>
      </c>
    </row>
    <row r="14" spans="1:17" ht="12.75">
      <c r="A14" s="62" t="s">
        <v>462</v>
      </c>
      <c r="B14" s="63"/>
      <c r="C14" s="63" t="s">
        <v>463</v>
      </c>
      <c r="D14" s="63" t="s">
        <v>464</v>
      </c>
      <c r="E14" s="63" t="s">
        <v>465</v>
      </c>
      <c r="F14" s="63" t="s">
        <v>466</v>
      </c>
      <c r="G14" s="63" t="s">
        <v>474</v>
      </c>
      <c r="H14" s="63" t="s">
        <v>478</v>
      </c>
      <c r="I14" s="63"/>
      <c r="J14" s="63"/>
      <c r="K14" s="63"/>
      <c r="L14" s="63"/>
      <c r="M14" s="63"/>
      <c r="N14" s="63"/>
      <c r="O14" s="63"/>
      <c r="P14" s="63"/>
      <c r="Q14" s="64"/>
    </row>
    <row r="15" spans="1:17" ht="12.75">
      <c r="A15" s="65"/>
      <c r="B15" s="66"/>
      <c r="C15" s="66"/>
      <c r="D15" s="66"/>
      <c r="E15" s="66"/>
      <c r="F15" s="66"/>
      <c r="G15" s="66"/>
      <c r="H15" s="66"/>
      <c r="I15" s="66"/>
      <c r="J15" s="66"/>
      <c r="K15" s="66"/>
      <c r="L15" s="66"/>
      <c r="M15" s="66"/>
      <c r="N15" s="66"/>
      <c r="O15" s="66"/>
      <c r="P15" s="66"/>
      <c r="Q15" s="67"/>
    </row>
    <row r="16" spans="1:17" ht="12.75">
      <c r="A16" s="70" t="s">
        <v>467</v>
      </c>
      <c r="B16" s="71"/>
      <c r="C16" s="72">
        <v>3.6</v>
      </c>
      <c r="D16" s="72">
        <v>2.07</v>
      </c>
      <c r="E16" s="72">
        <v>1.25</v>
      </c>
      <c r="F16" s="72">
        <v>0.8</v>
      </c>
      <c r="G16" s="73" t="s">
        <v>473</v>
      </c>
      <c r="H16" s="71"/>
      <c r="I16" s="71"/>
      <c r="J16" s="71"/>
      <c r="K16" s="71"/>
      <c r="L16" s="71"/>
      <c r="M16" s="71"/>
      <c r="N16" s="71"/>
      <c r="O16" s="71"/>
      <c r="P16" s="71"/>
      <c r="Q16" s="74"/>
    </row>
    <row r="17" spans="1:17" ht="12.75">
      <c r="A17" s="65" t="s">
        <v>468</v>
      </c>
      <c r="B17" s="66"/>
      <c r="C17" s="68">
        <v>3.6</v>
      </c>
      <c r="D17" s="68">
        <v>1.88</v>
      </c>
      <c r="E17" s="68">
        <v>1.22</v>
      </c>
      <c r="F17" s="68">
        <v>0.82</v>
      </c>
      <c r="G17" s="69">
        <v>4.43</v>
      </c>
      <c r="H17" s="66"/>
      <c r="I17" s="66"/>
      <c r="J17" s="66"/>
      <c r="K17" s="66"/>
      <c r="L17" s="66"/>
      <c r="M17" s="66"/>
      <c r="N17" s="66"/>
      <c r="O17" s="66"/>
      <c r="P17" s="66"/>
      <c r="Q17" s="67"/>
    </row>
    <row r="18" spans="1:17" ht="12.75">
      <c r="A18" s="70" t="s">
        <v>470</v>
      </c>
      <c r="B18" s="71"/>
      <c r="C18" s="72">
        <v>3.8</v>
      </c>
      <c r="D18" s="72">
        <v>2.06</v>
      </c>
      <c r="E18" s="72" t="s">
        <v>475</v>
      </c>
      <c r="F18" s="72" t="s">
        <v>476</v>
      </c>
      <c r="G18" s="73">
        <v>4.38</v>
      </c>
      <c r="H18" s="71" t="s">
        <v>479</v>
      </c>
      <c r="I18" s="71"/>
      <c r="J18" s="71"/>
      <c r="K18" s="71"/>
      <c r="L18" s="71"/>
      <c r="M18" s="71"/>
      <c r="N18" s="71"/>
      <c r="O18" s="71"/>
      <c r="P18" s="71"/>
      <c r="Q18" s="74"/>
    </row>
    <row r="19" spans="1:17" ht="12.75">
      <c r="A19" s="65" t="s">
        <v>471</v>
      </c>
      <c r="B19" s="66"/>
      <c r="C19" s="68">
        <v>3.8</v>
      </c>
      <c r="D19" s="68">
        <v>2.06</v>
      </c>
      <c r="E19" s="68">
        <v>1.26</v>
      </c>
      <c r="F19" s="68">
        <v>0.89</v>
      </c>
      <c r="G19" s="69">
        <v>4.13</v>
      </c>
      <c r="H19" s="66"/>
      <c r="I19" s="66"/>
      <c r="J19" s="66"/>
      <c r="K19" s="66"/>
      <c r="L19" s="66"/>
      <c r="M19" s="66"/>
      <c r="N19" s="66"/>
      <c r="O19" s="66"/>
      <c r="P19" s="66"/>
      <c r="Q19" s="67"/>
    </row>
    <row r="20" spans="1:17" ht="12.75">
      <c r="A20" s="70" t="s">
        <v>472</v>
      </c>
      <c r="B20" s="71"/>
      <c r="C20" s="72">
        <v>3.78</v>
      </c>
      <c r="D20" s="72">
        <v>2.06</v>
      </c>
      <c r="E20" s="72">
        <v>1.26</v>
      </c>
      <c r="F20" s="72" t="s">
        <v>476</v>
      </c>
      <c r="G20" s="73" t="s">
        <v>477</v>
      </c>
      <c r="H20" s="71" t="s">
        <v>480</v>
      </c>
      <c r="I20" s="71"/>
      <c r="J20" s="71"/>
      <c r="K20" s="71"/>
      <c r="L20" s="71"/>
      <c r="M20" s="71"/>
      <c r="N20" s="71"/>
      <c r="O20" s="71"/>
      <c r="P20" s="71"/>
      <c r="Q20" s="74"/>
    </row>
    <row r="22" ht="12.75">
      <c r="A22" s="5" t="s">
        <v>74</v>
      </c>
    </row>
    <row r="24" spans="1:10" ht="13.5" thickBot="1">
      <c r="A24" s="313" t="s">
        <v>75</v>
      </c>
      <c r="B24" s="313"/>
      <c r="C24" s="313" t="s">
        <v>76</v>
      </c>
      <c r="D24" s="313"/>
      <c r="E24" s="313" t="s">
        <v>77</v>
      </c>
      <c r="F24" s="313"/>
      <c r="G24" s="309" t="s">
        <v>78</v>
      </c>
      <c r="H24" s="309"/>
      <c r="I24" s="309" t="s">
        <v>79</v>
      </c>
      <c r="J24" s="309"/>
    </row>
    <row r="25" spans="1:10" ht="13.5" thickBot="1">
      <c r="A25" s="253">
        <v>4000</v>
      </c>
      <c r="B25" s="254"/>
      <c r="C25" s="253">
        <v>3.6</v>
      </c>
      <c r="D25" s="254"/>
      <c r="E25" s="253">
        <v>2.07</v>
      </c>
      <c r="F25" s="290"/>
      <c r="G25" s="346">
        <f>A25*(E25/C25)</f>
        <v>2300</v>
      </c>
      <c r="H25" s="348"/>
      <c r="I25" s="346">
        <f>A25-G25</f>
        <v>1700</v>
      </c>
      <c r="J25" s="348"/>
    </row>
    <row r="27" ht="12.75">
      <c r="A27" s="5" t="s">
        <v>461</v>
      </c>
    </row>
    <row r="29" spans="1:8" ht="13.5" thickBot="1">
      <c r="A29" s="313" t="s">
        <v>5</v>
      </c>
      <c r="B29" s="313"/>
      <c r="C29" s="313" t="s">
        <v>80</v>
      </c>
      <c r="D29" s="313"/>
      <c r="G29" s="309" t="s">
        <v>81</v>
      </c>
      <c r="H29" s="309"/>
    </row>
    <row r="30" spans="1:8" ht="13.5" thickBot="1">
      <c r="A30" s="253">
        <v>300</v>
      </c>
      <c r="B30" s="254"/>
      <c r="C30" s="253">
        <v>2.2</v>
      </c>
      <c r="D30" s="254"/>
      <c r="G30" s="346">
        <f>A30*C30</f>
        <v>660</v>
      </c>
      <c r="H30" s="348"/>
    </row>
    <row r="32" ht="12.75">
      <c r="A32" s="5" t="s">
        <v>82</v>
      </c>
    </row>
    <row r="34" spans="1:9" ht="13.5" thickBot="1">
      <c r="A34" s="3" t="s">
        <v>15</v>
      </c>
      <c r="B34" s="3" t="s">
        <v>68</v>
      </c>
      <c r="C34" s="313" t="s">
        <v>83</v>
      </c>
      <c r="D34" s="313"/>
      <c r="E34" s="313" t="s">
        <v>84</v>
      </c>
      <c r="F34" s="313"/>
      <c r="G34" s="354" t="s">
        <v>71</v>
      </c>
      <c r="H34" s="354"/>
      <c r="I34" s="213" t="s">
        <v>64</v>
      </c>
    </row>
    <row r="35" spans="1:9" ht="13.5" thickBot="1">
      <c r="A35" s="95">
        <v>4500</v>
      </c>
      <c r="B35" s="95">
        <v>26</v>
      </c>
      <c r="C35" s="253">
        <v>3.8</v>
      </c>
      <c r="D35" s="254"/>
      <c r="E35" s="253">
        <v>4.13</v>
      </c>
      <c r="F35" s="254"/>
      <c r="G35" s="355">
        <f>C35*E35</f>
        <v>15.69</v>
      </c>
      <c r="H35" s="355"/>
      <c r="I35" s="120">
        <f>(A35*B35)/(C35*E35*336)</f>
        <v>22.1877332556573</v>
      </c>
    </row>
    <row r="36" spans="1:9" ht="13.5" thickBot="1">
      <c r="A36" s="115"/>
      <c r="B36" s="123"/>
      <c r="C36" s="313" t="s">
        <v>85</v>
      </c>
      <c r="D36" s="313"/>
      <c r="E36" s="352"/>
      <c r="F36" s="352"/>
      <c r="G36" s="354"/>
      <c r="H36" s="354"/>
      <c r="I36" s="230"/>
    </row>
    <row r="37" spans="1:9" ht="13.5" thickBot="1">
      <c r="A37" s="115">
        <f>A35</f>
        <v>4500</v>
      </c>
      <c r="B37" s="115">
        <f>B35</f>
        <v>26</v>
      </c>
      <c r="C37" s="253">
        <v>2.06</v>
      </c>
      <c r="D37" s="254"/>
      <c r="E37" s="352">
        <f>E35</f>
        <v>4.13</v>
      </c>
      <c r="F37" s="352"/>
      <c r="G37" s="355">
        <f>C37*E37</f>
        <v>8.51</v>
      </c>
      <c r="H37" s="355"/>
      <c r="I37" s="120">
        <f>(A37*B37)/(C37*E37*336)</f>
        <v>40.9288283356785</v>
      </c>
    </row>
    <row r="38" spans="1:9" ht="13.5" thickBot="1">
      <c r="A38" s="115"/>
      <c r="B38" s="115"/>
      <c r="C38" s="313" t="s">
        <v>86</v>
      </c>
      <c r="D38" s="313"/>
      <c r="E38" s="352"/>
      <c r="F38" s="352"/>
      <c r="G38" s="354"/>
      <c r="H38" s="354"/>
      <c r="I38" s="230"/>
    </row>
    <row r="39" spans="1:9" ht="13.5" thickBot="1">
      <c r="A39" s="115">
        <f>A35</f>
        <v>4500</v>
      </c>
      <c r="B39" s="115">
        <f>B35</f>
        <v>26</v>
      </c>
      <c r="C39" s="253">
        <v>1.26</v>
      </c>
      <c r="D39" s="254"/>
      <c r="E39" s="352">
        <f>E35</f>
        <v>4.13</v>
      </c>
      <c r="F39" s="352"/>
      <c r="G39" s="355">
        <f>C39*E39</f>
        <v>5.2</v>
      </c>
      <c r="H39" s="355"/>
      <c r="I39" s="120">
        <f>(A39*B39)/(C39*E39*336)</f>
        <v>66.9153860091252</v>
      </c>
    </row>
    <row r="40" spans="1:9" ht="13.5" thickBot="1">
      <c r="A40" s="115"/>
      <c r="B40" s="115"/>
      <c r="C40" s="313" t="s">
        <v>87</v>
      </c>
      <c r="D40" s="313"/>
      <c r="E40" s="352"/>
      <c r="F40" s="352"/>
      <c r="G40" s="354"/>
      <c r="H40" s="354"/>
      <c r="I40" s="230"/>
    </row>
    <row r="41" spans="1:9" ht="13.5" thickBot="1">
      <c r="A41" s="115">
        <f>A35</f>
        <v>4500</v>
      </c>
      <c r="B41" s="115">
        <f>B35</f>
        <v>26</v>
      </c>
      <c r="C41" s="253">
        <v>0.89</v>
      </c>
      <c r="D41" s="254"/>
      <c r="E41" s="352">
        <f>E35</f>
        <v>4.13</v>
      </c>
      <c r="F41" s="352"/>
      <c r="G41" s="355">
        <f>C41*E41</f>
        <v>3.68</v>
      </c>
      <c r="H41" s="355"/>
      <c r="I41" s="120">
        <f>(A41*B41)/(C41*E41*336)</f>
        <v>94.7341419904469</v>
      </c>
    </row>
    <row r="42" spans="1:9" ht="13.5" thickBot="1">
      <c r="A42" s="115"/>
      <c r="B42" s="115"/>
      <c r="C42" s="313" t="s">
        <v>88</v>
      </c>
      <c r="D42" s="313"/>
      <c r="E42" s="352"/>
      <c r="F42" s="352"/>
      <c r="G42" s="354"/>
      <c r="H42" s="354"/>
      <c r="I42" s="230"/>
    </row>
    <row r="43" spans="1:9" ht="13.5" thickBot="1">
      <c r="A43" s="115">
        <f>A35</f>
        <v>4500</v>
      </c>
      <c r="B43" s="115">
        <f>B35</f>
        <v>26</v>
      </c>
      <c r="C43" s="253">
        <v>0</v>
      </c>
      <c r="D43" s="254"/>
      <c r="E43" s="352">
        <f>E35</f>
        <v>4.13</v>
      </c>
      <c r="F43" s="352"/>
      <c r="G43" s="355">
        <f>C43*E43</f>
        <v>0</v>
      </c>
      <c r="H43" s="355"/>
      <c r="I43" s="120" t="e">
        <f>(A43*B43)/(C43*E43*336)</f>
        <v>#DIV/0!</v>
      </c>
    </row>
    <row r="44" spans="1:9" ht="13.5" thickBot="1">
      <c r="A44" s="115"/>
      <c r="B44" s="115"/>
      <c r="C44" s="313" t="s">
        <v>89</v>
      </c>
      <c r="D44" s="313"/>
      <c r="E44" s="352"/>
      <c r="F44" s="352"/>
      <c r="G44" s="354"/>
      <c r="H44" s="354"/>
      <c r="I44" s="230"/>
    </row>
    <row r="45" spans="1:9" ht="13.5" thickBot="1">
      <c r="A45" s="115">
        <f>A35</f>
        <v>4500</v>
      </c>
      <c r="B45" s="115">
        <f>B35</f>
        <v>26</v>
      </c>
      <c r="C45" s="253">
        <v>0</v>
      </c>
      <c r="D45" s="254"/>
      <c r="E45" s="352">
        <f>E35</f>
        <v>4.13</v>
      </c>
      <c r="F45" s="352"/>
      <c r="G45" s="354">
        <f>C45*E45</f>
        <v>0</v>
      </c>
      <c r="H45" s="354"/>
      <c r="I45" s="120" t="e">
        <f>(A45*B45)/(C45*E45*336)</f>
        <v>#DIV/0!</v>
      </c>
    </row>
    <row r="47" ht="12.75">
      <c r="A47" s="5" t="s">
        <v>90</v>
      </c>
    </row>
    <row r="49" spans="1:10" ht="13.5" thickBot="1">
      <c r="A49" s="3" t="s">
        <v>64</v>
      </c>
      <c r="B49" s="3" t="s">
        <v>68</v>
      </c>
      <c r="C49" s="123"/>
      <c r="D49" s="352" t="s">
        <v>83</v>
      </c>
      <c r="E49" s="352"/>
      <c r="F49" s="313" t="s">
        <v>84</v>
      </c>
      <c r="G49" s="313"/>
      <c r="H49" s="352" t="s">
        <v>71</v>
      </c>
      <c r="I49" s="352"/>
      <c r="J49" s="213" t="s">
        <v>15</v>
      </c>
    </row>
    <row r="50" spans="1:10" ht="13.5" thickBot="1">
      <c r="A50" s="95">
        <v>45</v>
      </c>
      <c r="B50" s="95">
        <v>28</v>
      </c>
      <c r="C50" s="123"/>
      <c r="D50" s="352">
        <v>3.8</v>
      </c>
      <c r="E50" s="352"/>
      <c r="F50" s="253">
        <v>3.88</v>
      </c>
      <c r="G50" s="254"/>
      <c r="H50" s="353">
        <f>D50*F50</f>
        <v>14.74</v>
      </c>
      <c r="I50" s="353"/>
      <c r="J50" s="120">
        <f>(A50*D50*F50*336)/(B50)</f>
        <v>7961.76</v>
      </c>
    </row>
    <row r="51" spans="1:10" ht="13.5" thickBot="1">
      <c r="A51" s="115"/>
      <c r="B51" s="115"/>
      <c r="C51" s="123"/>
      <c r="D51" s="352" t="s">
        <v>85</v>
      </c>
      <c r="E51" s="352"/>
      <c r="F51" s="352"/>
      <c r="G51" s="352"/>
      <c r="H51" s="352"/>
      <c r="I51" s="352"/>
      <c r="J51" s="9"/>
    </row>
    <row r="52" spans="1:11" ht="13.5" thickBot="1">
      <c r="A52" s="115">
        <f>A50</f>
        <v>45</v>
      </c>
      <c r="B52" s="115">
        <f>B50</f>
        <v>28</v>
      </c>
      <c r="C52" s="123"/>
      <c r="D52" s="352">
        <v>2.06</v>
      </c>
      <c r="E52" s="352"/>
      <c r="F52" s="352">
        <f>F50</f>
        <v>3.88</v>
      </c>
      <c r="G52" s="352"/>
      <c r="H52" s="353">
        <f>D52*F52</f>
        <v>7.99</v>
      </c>
      <c r="I52" s="353"/>
      <c r="J52" s="346">
        <f aca="true" t="shared" si="0" ref="J52:J60">(A52*D52*F52*336)/(B52)</f>
        <v>4316.112</v>
      </c>
      <c r="K52" s="348"/>
    </row>
    <row r="53" spans="1:10" ht="13.5" thickBot="1">
      <c r="A53" s="115"/>
      <c r="B53" s="115"/>
      <c r="C53" s="123"/>
      <c r="D53" s="352" t="s">
        <v>86</v>
      </c>
      <c r="E53" s="352"/>
      <c r="F53" s="352"/>
      <c r="G53" s="352"/>
      <c r="H53" s="352"/>
      <c r="I53" s="352"/>
      <c r="J53" s="9"/>
    </row>
    <row r="54" spans="1:11" ht="13.5" thickBot="1">
      <c r="A54" s="115">
        <f>A50</f>
        <v>45</v>
      </c>
      <c r="B54" s="115">
        <f>B50</f>
        <v>28</v>
      </c>
      <c r="C54" s="123"/>
      <c r="D54" s="352">
        <v>1.26</v>
      </c>
      <c r="E54" s="352"/>
      <c r="F54" s="352">
        <f>F50</f>
        <v>3.88</v>
      </c>
      <c r="G54" s="352"/>
      <c r="H54" s="353">
        <f>D54*F54</f>
        <v>4.89</v>
      </c>
      <c r="I54" s="353"/>
      <c r="J54" s="346">
        <f t="shared" si="0"/>
        <v>2639.952</v>
      </c>
      <c r="K54" s="348"/>
    </row>
    <row r="55" spans="1:10" ht="13.5" thickBot="1">
      <c r="A55" s="115"/>
      <c r="B55" s="115"/>
      <c r="C55" s="123"/>
      <c r="D55" s="352" t="s">
        <v>87</v>
      </c>
      <c r="E55" s="352"/>
      <c r="F55" s="352"/>
      <c r="G55" s="352"/>
      <c r="H55" s="352"/>
      <c r="I55" s="352"/>
      <c r="J55" s="9"/>
    </row>
    <row r="56" spans="1:11" ht="13.5" thickBot="1">
      <c r="A56" s="115">
        <f>A50</f>
        <v>45</v>
      </c>
      <c r="B56" s="115">
        <f>B50</f>
        <v>28</v>
      </c>
      <c r="C56" s="123"/>
      <c r="D56" s="352">
        <v>0.89</v>
      </c>
      <c r="E56" s="352"/>
      <c r="F56" s="352">
        <f>F50</f>
        <v>3.88</v>
      </c>
      <c r="G56" s="352"/>
      <c r="H56" s="353">
        <f>D56*F56</f>
        <v>3.45</v>
      </c>
      <c r="I56" s="353"/>
      <c r="J56" s="346">
        <f t="shared" si="0"/>
        <v>1864.728</v>
      </c>
      <c r="K56" s="348"/>
    </row>
    <row r="57" spans="1:10" ht="13.5" thickBot="1">
      <c r="A57" s="115"/>
      <c r="B57" s="115"/>
      <c r="C57" s="123"/>
      <c r="D57" s="352" t="s">
        <v>88</v>
      </c>
      <c r="E57" s="352"/>
      <c r="F57" s="352"/>
      <c r="G57" s="352"/>
      <c r="H57" s="352"/>
      <c r="I57" s="352"/>
      <c r="J57" s="9"/>
    </row>
    <row r="58" spans="1:11" ht="13.5" thickBot="1">
      <c r="A58" s="115">
        <f>A50</f>
        <v>45</v>
      </c>
      <c r="B58" s="115">
        <f>B50</f>
        <v>28</v>
      </c>
      <c r="C58" s="123"/>
      <c r="D58" s="352">
        <v>0</v>
      </c>
      <c r="E58" s="352"/>
      <c r="F58" s="352">
        <f>F50</f>
        <v>3.88</v>
      </c>
      <c r="G58" s="352"/>
      <c r="H58" s="353">
        <f>D58*F58</f>
        <v>0</v>
      </c>
      <c r="I58" s="353"/>
      <c r="J58" s="346">
        <f t="shared" si="0"/>
        <v>0</v>
      </c>
      <c r="K58" s="348"/>
    </row>
    <row r="59" spans="1:10" ht="13.5" thickBot="1">
      <c r="A59" s="115"/>
      <c r="B59" s="115"/>
      <c r="C59" s="123"/>
      <c r="D59" s="352" t="s">
        <v>89</v>
      </c>
      <c r="E59" s="352"/>
      <c r="F59" s="352"/>
      <c r="G59" s="352"/>
      <c r="H59" s="352"/>
      <c r="I59" s="352"/>
      <c r="J59" s="9"/>
    </row>
    <row r="60" spans="1:11" ht="13.5" thickBot="1">
      <c r="A60" s="115">
        <f>A50</f>
        <v>45</v>
      </c>
      <c r="B60" s="115">
        <f>B50</f>
        <v>28</v>
      </c>
      <c r="C60" s="123"/>
      <c r="D60" s="352">
        <v>0</v>
      </c>
      <c r="E60" s="352"/>
      <c r="F60" s="352">
        <f>F50</f>
        <v>3.88</v>
      </c>
      <c r="G60" s="352"/>
      <c r="H60" s="352">
        <f>D60*F60</f>
        <v>0</v>
      </c>
      <c r="I60" s="352"/>
      <c r="J60" s="346">
        <f t="shared" si="0"/>
        <v>0</v>
      </c>
      <c r="K60" s="348"/>
    </row>
    <row r="62" ht="12.75">
      <c r="A62" s="5" t="s">
        <v>91</v>
      </c>
    </row>
    <row r="64" spans="1:10" ht="13.5" thickBot="1">
      <c r="A64" s="313" t="s">
        <v>92</v>
      </c>
      <c r="B64" s="313"/>
      <c r="C64" s="313"/>
      <c r="D64" s="313" t="s">
        <v>68</v>
      </c>
      <c r="E64" s="313"/>
      <c r="F64" s="313" t="s">
        <v>64</v>
      </c>
      <c r="G64" s="313"/>
      <c r="I64" s="309" t="s">
        <v>71</v>
      </c>
      <c r="J64" s="309"/>
    </row>
    <row r="65" spans="1:10" ht="13.5" thickBot="1">
      <c r="A65" s="253">
        <v>2800</v>
      </c>
      <c r="B65" s="290"/>
      <c r="C65" s="254"/>
      <c r="D65" s="253">
        <v>26</v>
      </c>
      <c r="E65" s="254"/>
      <c r="F65" s="253">
        <v>50</v>
      </c>
      <c r="G65" s="254"/>
      <c r="I65" s="346">
        <f>(A65*D65)/(F65*336)</f>
        <v>4.33333333333333</v>
      </c>
      <c r="J65" s="348"/>
    </row>
    <row r="66" spans="1:10" ht="13.5" thickBot="1">
      <c r="A66" s="315">
        <f>'Base Data'!I23</f>
        <v>2800</v>
      </c>
      <c r="B66" s="338"/>
      <c r="C66" s="316"/>
      <c r="D66" s="315">
        <f>B35</f>
        <v>26</v>
      </c>
      <c r="E66" s="316"/>
      <c r="F66" s="315">
        <f>A50</f>
        <v>45</v>
      </c>
      <c r="G66" s="316"/>
      <c r="H66" s="7"/>
      <c r="I66" s="346">
        <f>(A66*D66)/(F66*336)</f>
        <v>4.81481481481481</v>
      </c>
      <c r="J66" s="348"/>
    </row>
    <row r="68" ht="12.75">
      <c r="A68" s="5" t="s">
        <v>93</v>
      </c>
    </row>
    <row r="70" spans="1:10" ht="13.5" thickBot="1">
      <c r="A70" s="3" t="s">
        <v>64</v>
      </c>
      <c r="B70" s="313" t="s">
        <v>94</v>
      </c>
      <c r="C70" s="313"/>
      <c r="D70" s="313"/>
      <c r="E70" s="313"/>
      <c r="F70" s="313" t="s">
        <v>15</v>
      </c>
      <c r="G70" s="313"/>
      <c r="I70" s="309" t="s">
        <v>68</v>
      </c>
      <c r="J70" s="309"/>
    </row>
    <row r="71" spans="1:10" ht="13.5" thickBot="1">
      <c r="A71" s="3">
        <v>100</v>
      </c>
      <c r="B71" s="253">
        <v>4.33</v>
      </c>
      <c r="C71" s="290"/>
      <c r="D71" s="290"/>
      <c r="E71" s="254"/>
      <c r="F71" s="253">
        <v>5500</v>
      </c>
      <c r="G71" s="254"/>
      <c r="I71" s="346">
        <f>(A71*B71*336)/F71</f>
        <v>26.4523636363636</v>
      </c>
      <c r="J71" s="348"/>
    </row>
    <row r="72" spans="1:10" ht="13.5" thickBot="1">
      <c r="A72" s="95">
        <v>50</v>
      </c>
      <c r="B72" s="359">
        <f>I66</f>
        <v>4.81</v>
      </c>
      <c r="C72" s="338"/>
      <c r="D72" s="338"/>
      <c r="E72" s="316"/>
      <c r="F72" s="315">
        <f>A66</f>
        <v>2800</v>
      </c>
      <c r="G72" s="316"/>
      <c r="I72" s="346">
        <f>(A72*B72*336)/F72</f>
        <v>28.86</v>
      </c>
      <c r="J72" s="348"/>
    </row>
    <row r="120" spans="1:10" ht="12.75">
      <c r="A120" s="61" t="s">
        <v>400</v>
      </c>
      <c r="B120" s="61" t="s">
        <v>401</v>
      </c>
      <c r="C120" s="61" t="s">
        <v>427</v>
      </c>
      <c r="D120" s="61" t="s">
        <v>308</v>
      </c>
      <c r="E120" s="61"/>
      <c r="F120" s="61"/>
      <c r="G120" s="61"/>
      <c r="H120" s="61"/>
      <c r="I120" s="61"/>
      <c r="J120" s="61"/>
    </row>
    <row r="121" spans="1:10" ht="12.75">
      <c r="A121" s="75" t="s">
        <v>402</v>
      </c>
      <c r="B121" s="75">
        <v>1200</v>
      </c>
      <c r="C121" s="75">
        <v>4.375</v>
      </c>
      <c r="D121" s="61" t="s">
        <v>428</v>
      </c>
      <c r="E121" s="61"/>
      <c r="F121" s="61"/>
      <c r="G121" s="61"/>
      <c r="H121" s="61"/>
      <c r="I121" s="61"/>
      <c r="J121" s="61"/>
    </row>
    <row r="122" spans="1:10" ht="12.75">
      <c r="A122" s="75" t="s">
        <v>333</v>
      </c>
      <c r="B122" s="75">
        <v>1300</v>
      </c>
      <c r="C122" s="75">
        <v>4.375</v>
      </c>
      <c r="D122" s="61" t="s">
        <v>429</v>
      </c>
      <c r="E122" s="61"/>
      <c r="F122" s="61"/>
      <c r="G122" s="61"/>
      <c r="H122" s="61"/>
      <c r="I122" s="61"/>
      <c r="J122" s="61"/>
    </row>
    <row r="123" spans="1:10" ht="12.75">
      <c r="A123" s="75" t="s">
        <v>403</v>
      </c>
      <c r="B123" s="75">
        <v>1500</v>
      </c>
      <c r="C123" s="75">
        <v>4.125</v>
      </c>
      <c r="D123" s="61" t="s">
        <v>430</v>
      </c>
      <c r="E123" s="61"/>
      <c r="F123" s="61"/>
      <c r="G123" s="61"/>
      <c r="H123" s="61"/>
      <c r="I123" s="61"/>
      <c r="J123" s="61"/>
    </row>
    <row r="124" spans="1:10" ht="12.75">
      <c r="A124" s="75" t="s">
        <v>334</v>
      </c>
      <c r="B124" s="75">
        <v>1200</v>
      </c>
      <c r="C124" s="75">
        <v>4.375</v>
      </c>
      <c r="D124" s="61" t="s">
        <v>431</v>
      </c>
      <c r="E124" s="61"/>
      <c r="F124" s="61"/>
      <c r="G124" s="61"/>
      <c r="H124" s="61"/>
      <c r="I124" s="61"/>
      <c r="J124" s="61"/>
    </row>
    <row r="125" spans="1:10" ht="12.75">
      <c r="A125" s="75" t="s">
        <v>319</v>
      </c>
      <c r="B125" s="75">
        <v>1300</v>
      </c>
      <c r="C125" s="75">
        <v>4.375</v>
      </c>
      <c r="D125" s="61" t="s">
        <v>431</v>
      </c>
      <c r="E125" s="61"/>
      <c r="F125" s="61"/>
      <c r="G125" s="61"/>
      <c r="H125" s="61"/>
      <c r="I125" s="61"/>
      <c r="J125" s="61"/>
    </row>
    <row r="126" spans="1:10" ht="12.75">
      <c r="A126" s="75" t="s">
        <v>404</v>
      </c>
      <c r="B126" s="75">
        <v>1500</v>
      </c>
      <c r="C126" s="75">
        <v>4.125</v>
      </c>
      <c r="D126" s="61" t="s">
        <v>432</v>
      </c>
      <c r="E126" s="61"/>
      <c r="F126" s="61"/>
      <c r="G126" s="61"/>
      <c r="H126" s="61"/>
      <c r="I126" s="61"/>
      <c r="J126" s="61"/>
    </row>
    <row r="127" spans="1:10" ht="12.75">
      <c r="A127" s="75" t="s">
        <v>405</v>
      </c>
      <c r="B127" s="75">
        <v>1200</v>
      </c>
      <c r="C127" s="75">
        <v>4.375</v>
      </c>
      <c r="D127" s="61" t="s">
        <v>433</v>
      </c>
      <c r="E127" s="61"/>
      <c r="F127" s="61"/>
      <c r="G127" s="61"/>
      <c r="H127" s="61"/>
      <c r="I127" s="61"/>
      <c r="J127" s="61"/>
    </row>
    <row r="128" spans="1:10" ht="12.75">
      <c r="A128" s="75" t="s">
        <v>320</v>
      </c>
      <c r="B128" s="75" t="s">
        <v>340</v>
      </c>
      <c r="C128" s="75">
        <v>4.125</v>
      </c>
      <c r="D128" s="61" t="s">
        <v>434</v>
      </c>
      <c r="E128" s="61"/>
      <c r="F128" s="61"/>
      <c r="G128" s="61"/>
      <c r="H128" s="61"/>
      <c r="I128" s="61"/>
      <c r="J128" s="61"/>
    </row>
    <row r="129" spans="1:10" ht="12.75">
      <c r="A129" s="75" t="s">
        <v>335</v>
      </c>
      <c r="B129" s="75" t="s">
        <v>340</v>
      </c>
      <c r="C129" s="75">
        <v>3.875</v>
      </c>
      <c r="D129" s="61" t="s">
        <v>435</v>
      </c>
      <c r="E129" s="61"/>
      <c r="F129" s="61"/>
      <c r="G129" s="61"/>
      <c r="H129" s="61"/>
      <c r="I129" s="61"/>
      <c r="J129" s="61"/>
    </row>
    <row r="130" spans="1:10" ht="12.75">
      <c r="A130" s="75" t="s">
        <v>406</v>
      </c>
      <c r="B130" s="75" t="s">
        <v>340</v>
      </c>
      <c r="C130" s="75">
        <v>3.875</v>
      </c>
      <c r="D130" s="61" t="s">
        <v>436</v>
      </c>
      <c r="E130" s="61"/>
      <c r="F130" s="61"/>
      <c r="G130" s="61"/>
      <c r="H130" s="61"/>
      <c r="I130" s="61"/>
      <c r="J130" s="61"/>
    </row>
    <row r="131" spans="1:10" ht="12.75">
      <c r="A131" s="75" t="s">
        <v>336</v>
      </c>
      <c r="B131" s="75">
        <v>1300</v>
      </c>
      <c r="C131" s="75">
        <v>4.375</v>
      </c>
      <c r="D131" s="61" t="s">
        <v>437</v>
      </c>
      <c r="E131" s="61"/>
      <c r="F131" s="61"/>
      <c r="G131" s="61"/>
      <c r="H131" s="61"/>
      <c r="I131" s="61"/>
      <c r="J131" s="61"/>
    </row>
    <row r="132" spans="1:10" ht="12.75">
      <c r="A132" s="75" t="s">
        <v>407</v>
      </c>
      <c r="B132" s="75">
        <v>1600</v>
      </c>
      <c r="C132" s="75">
        <v>3.875</v>
      </c>
      <c r="D132" s="61" t="s">
        <v>438</v>
      </c>
      <c r="E132" s="61"/>
      <c r="F132" s="61"/>
      <c r="G132" s="61"/>
      <c r="H132" s="61"/>
      <c r="I132" s="61"/>
      <c r="J132" s="61"/>
    </row>
    <row r="133" spans="1:10" ht="12.75">
      <c r="A133" s="75" t="s">
        <v>408</v>
      </c>
      <c r="B133" s="75">
        <v>1600</v>
      </c>
      <c r="C133" s="75">
        <v>3.875</v>
      </c>
      <c r="D133" s="61" t="s">
        <v>439</v>
      </c>
      <c r="E133" s="61"/>
      <c r="F133" s="61"/>
      <c r="G133" s="61"/>
      <c r="H133" s="61"/>
      <c r="I133" s="61"/>
      <c r="J133" s="61"/>
    </row>
    <row r="134" spans="1:10" ht="12.75">
      <c r="A134" s="75" t="s">
        <v>409</v>
      </c>
      <c r="B134" s="75">
        <v>1300</v>
      </c>
      <c r="C134" s="75">
        <v>4.375</v>
      </c>
      <c r="D134" s="61" t="s">
        <v>440</v>
      </c>
      <c r="E134" s="61"/>
      <c r="F134" s="61"/>
      <c r="G134" s="61"/>
      <c r="H134" s="61"/>
      <c r="I134" s="61"/>
      <c r="J134" s="61"/>
    </row>
    <row r="135" spans="1:10" ht="12.75">
      <c r="A135" s="75" t="s">
        <v>410</v>
      </c>
      <c r="B135" s="75">
        <v>1600</v>
      </c>
      <c r="C135" s="75">
        <v>4.125</v>
      </c>
      <c r="D135" s="61" t="s">
        <v>441</v>
      </c>
      <c r="E135" s="61"/>
      <c r="F135" s="61"/>
      <c r="G135" s="61"/>
      <c r="H135" s="61"/>
      <c r="I135" s="61"/>
      <c r="J135" s="61"/>
    </row>
    <row r="136" spans="1:10" ht="12.75">
      <c r="A136" s="75" t="s">
        <v>411</v>
      </c>
      <c r="B136" s="75">
        <v>1600</v>
      </c>
      <c r="C136" s="75">
        <v>3.875</v>
      </c>
      <c r="D136" s="61" t="s">
        <v>442</v>
      </c>
      <c r="E136" s="61"/>
      <c r="F136" s="61"/>
      <c r="G136" s="61"/>
      <c r="H136" s="61"/>
      <c r="I136" s="61"/>
      <c r="J136" s="61"/>
    </row>
    <row r="137" spans="1:10" ht="12.75">
      <c r="A137" s="75" t="s">
        <v>337</v>
      </c>
      <c r="B137" s="75">
        <v>1600</v>
      </c>
      <c r="C137" s="75">
        <v>3.875</v>
      </c>
      <c r="D137" s="61" t="s">
        <v>443</v>
      </c>
      <c r="E137" s="61"/>
      <c r="F137" s="61"/>
      <c r="G137" s="61"/>
      <c r="H137" s="61"/>
      <c r="I137" s="61"/>
      <c r="J137" s="61"/>
    </row>
    <row r="138" spans="1:10" ht="12.75">
      <c r="A138" s="75" t="s">
        <v>412</v>
      </c>
      <c r="B138" s="75">
        <v>1600</v>
      </c>
      <c r="C138" s="75">
        <v>3.875</v>
      </c>
      <c r="D138" s="61" t="s">
        <v>444</v>
      </c>
      <c r="E138" s="61"/>
      <c r="F138" s="61"/>
      <c r="G138" s="61"/>
      <c r="H138" s="61"/>
      <c r="I138" s="61"/>
      <c r="J138" s="61"/>
    </row>
    <row r="139" spans="1:10" ht="12.75">
      <c r="A139" s="75" t="s">
        <v>413</v>
      </c>
      <c r="B139" s="75">
        <v>1600</v>
      </c>
      <c r="C139" s="75">
        <v>3.875</v>
      </c>
      <c r="D139" s="61" t="s">
        <v>445</v>
      </c>
      <c r="E139" s="61"/>
      <c r="F139" s="61"/>
      <c r="G139" s="61"/>
      <c r="H139" s="61"/>
      <c r="I139" s="61"/>
      <c r="J139" s="61"/>
    </row>
    <row r="140" spans="1:10" ht="12.75">
      <c r="A140" s="75" t="s">
        <v>414</v>
      </c>
      <c r="B140" s="75" t="s">
        <v>426</v>
      </c>
      <c r="C140" s="75">
        <v>4.375</v>
      </c>
      <c r="D140" s="61" t="s">
        <v>446</v>
      </c>
      <c r="E140" s="61"/>
      <c r="F140" s="61"/>
      <c r="G140" s="61"/>
      <c r="H140" s="61"/>
      <c r="I140" s="61"/>
      <c r="J140" s="61"/>
    </row>
    <row r="141" spans="1:10" ht="12.75">
      <c r="A141" s="75" t="s">
        <v>415</v>
      </c>
      <c r="B141" s="75" t="s">
        <v>426</v>
      </c>
      <c r="C141" s="75">
        <v>4.375</v>
      </c>
      <c r="D141" s="61" t="s">
        <v>447</v>
      </c>
      <c r="E141" s="61"/>
      <c r="F141" s="61"/>
      <c r="G141" s="61"/>
      <c r="H141" s="61"/>
      <c r="I141" s="61"/>
      <c r="J141" s="61"/>
    </row>
    <row r="142" spans="1:10" ht="12.75">
      <c r="A142" s="75" t="s">
        <v>416</v>
      </c>
      <c r="B142" s="75">
        <v>1600</v>
      </c>
      <c r="C142" s="75">
        <v>4.125</v>
      </c>
      <c r="D142" s="61" t="s">
        <v>448</v>
      </c>
      <c r="E142" s="61"/>
      <c r="F142" s="61"/>
      <c r="G142" s="61"/>
      <c r="H142" s="61"/>
      <c r="I142" s="61"/>
      <c r="J142" s="61"/>
    </row>
    <row r="143" spans="1:10" ht="12.75">
      <c r="A143" s="75" t="s">
        <v>417</v>
      </c>
      <c r="B143" s="75">
        <v>1600</v>
      </c>
      <c r="C143" s="75">
        <v>4.125</v>
      </c>
      <c r="D143" s="61" t="s">
        <v>449</v>
      </c>
      <c r="E143" s="61"/>
      <c r="F143" s="61"/>
      <c r="G143" s="61"/>
      <c r="H143" s="61"/>
      <c r="I143" s="61"/>
      <c r="J143" s="61"/>
    </row>
    <row r="144" spans="1:10" ht="12.75">
      <c r="A144" s="75" t="s">
        <v>418</v>
      </c>
      <c r="B144" s="75">
        <v>1300</v>
      </c>
      <c r="C144" s="75">
        <v>4.125</v>
      </c>
      <c r="D144" s="61" t="s">
        <v>450</v>
      </c>
      <c r="E144" s="61"/>
      <c r="F144" s="61"/>
      <c r="G144" s="61"/>
      <c r="H144" s="61"/>
      <c r="I144" s="61"/>
      <c r="J144" s="61"/>
    </row>
    <row r="145" spans="1:10" ht="12.75">
      <c r="A145" s="75" t="s">
        <v>419</v>
      </c>
      <c r="B145" s="75">
        <v>1300</v>
      </c>
      <c r="C145" s="75">
        <v>4.125</v>
      </c>
      <c r="D145" s="61" t="s">
        <v>451</v>
      </c>
      <c r="E145" s="61"/>
      <c r="F145" s="61"/>
      <c r="G145" s="61"/>
      <c r="H145" s="61"/>
      <c r="I145" s="61"/>
      <c r="J145" s="61"/>
    </row>
    <row r="146" spans="1:10" ht="12.75">
      <c r="A146" s="75" t="s">
        <v>420</v>
      </c>
      <c r="B146" s="75">
        <v>1300</v>
      </c>
      <c r="C146" s="75">
        <v>4.375</v>
      </c>
      <c r="D146" s="61" t="s">
        <v>452</v>
      </c>
      <c r="E146" s="61"/>
      <c r="F146" s="61"/>
      <c r="G146" s="61"/>
      <c r="H146" s="61"/>
      <c r="I146" s="61"/>
      <c r="J146" s="61"/>
    </row>
    <row r="147" spans="1:10" ht="12.75">
      <c r="A147" s="75" t="s">
        <v>421</v>
      </c>
      <c r="B147" s="75">
        <v>1300</v>
      </c>
      <c r="C147" s="75">
        <v>4.375</v>
      </c>
      <c r="D147" s="61" t="s">
        <v>453</v>
      </c>
      <c r="E147" s="61"/>
      <c r="F147" s="61"/>
      <c r="G147" s="61"/>
      <c r="H147" s="61"/>
      <c r="I147" s="61"/>
      <c r="J147" s="61"/>
    </row>
    <row r="148" spans="1:10" ht="12.75">
      <c r="A148" s="75" t="s">
        <v>422</v>
      </c>
      <c r="B148" s="75" t="s">
        <v>340</v>
      </c>
      <c r="C148" s="75">
        <v>4.125</v>
      </c>
      <c r="D148" s="61" t="s">
        <v>482</v>
      </c>
      <c r="E148" s="61"/>
      <c r="F148" s="61"/>
      <c r="G148" s="61"/>
      <c r="H148" s="61"/>
      <c r="I148" s="61"/>
      <c r="J148" s="61"/>
    </row>
    <row r="149" spans="1:10" ht="12.75">
      <c r="A149" s="75" t="s">
        <v>423</v>
      </c>
      <c r="B149" s="75" t="s">
        <v>340</v>
      </c>
      <c r="C149" s="75">
        <v>4.125</v>
      </c>
      <c r="D149" s="61" t="s">
        <v>483</v>
      </c>
      <c r="E149" s="61"/>
      <c r="F149" s="61"/>
      <c r="G149" s="61"/>
      <c r="H149" s="61"/>
      <c r="I149" s="61"/>
      <c r="J149" s="61"/>
    </row>
    <row r="150" spans="1:10" ht="12.75">
      <c r="A150" s="75" t="s">
        <v>424</v>
      </c>
      <c r="B150" s="75" t="s">
        <v>340</v>
      </c>
      <c r="C150" s="75">
        <v>4.125</v>
      </c>
      <c r="D150" s="61" t="s">
        <v>454</v>
      </c>
      <c r="E150" s="61"/>
      <c r="F150" s="61"/>
      <c r="G150" s="61"/>
      <c r="H150" s="61"/>
      <c r="I150" s="61"/>
      <c r="J150" s="61"/>
    </row>
    <row r="151" spans="1:10" ht="12.75">
      <c r="A151" s="75" t="s">
        <v>425</v>
      </c>
      <c r="B151" s="75" t="s">
        <v>340</v>
      </c>
      <c r="C151" s="75">
        <v>4.125</v>
      </c>
      <c r="D151" s="61" t="s">
        <v>455</v>
      </c>
      <c r="E151" s="61"/>
      <c r="F151" s="61"/>
      <c r="G151" s="61"/>
      <c r="H151" s="61"/>
      <c r="I151" s="61"/>
      <c r="J151" s="61"/>
    </row>
  </sheetData>
  <mergeCells count="120">
    <mergeCell ref="I70:J70"/>
    <mergeCell ref="I71:J71"/>
    <mergeCell ref="B72:E72"/>
    <mergeCell ref="F72:G72"/>
    <mergeCell ref="I72:J72"/>
    <mergeCell ref="F70:G70"/>
    <mergeCell ref="F71:G71"/>
    <mergeCell ref="B70:E70"/>
    <mergeCell ref="B71:E71"/>
    <mergeCell ref="A66:C66"/>
    <mergeCell ref="D66:E66"/>
    <mergeCell ref="F66:G66"/>
    <mergeCell ref="I66:J66"/>
    <mergeCell ref="A65:C65"/>
    <mergeCell ref="D65:E65"/>
    <mergeCell ref="F65:G65"/>
    <mergeCell ref="I65:J65"/>
    <mergeCell ref="H59:I59"/>
    <mergeCell ref="H60:I60"/>
    <mergeCell ref="A64:C64"/>
    <mergeCell ref="D64:E64"/>
    <mergeCell ref="F64:G64"/>
    <mergeCell ref="D59:E59"/>
    <mergeCell ref="D60:E60"/>
    <mergeCell ref="F59:G59"/>
    <mergeCell ref="F60:G60"/>
    <mergeCell ref="I64:J64"/>
    <mergeCell ref="H57:I57"/>
    <mergeCell ref="H58:I58"/>
    <mergeCell ref="H51:I51"/>
    <mergeCell ref="H52:I52"/>
    <mergeCell ref="H53:I53"/>
    <mergeCell ref="H54:I54"/>
    <mergeCell ref="F57:G57"/>
    <mergeCell ref="F58:G58"/>
    <mergeCell ref="F53:G53"/>
    <mergeCell ref="F54:G54"/>
    <mergeCell ref="F55:G55"/>
    <mergeCell ref="F56:G56"/>
    <mergeCell ref="D55:E55"/>
    <mergeCell ref="D56:E56"/>
    <mergeCell ref="D57:E57"/>
    <mergeCell ref="D58:E58"/>
    <mergeCell ref="D51:E51"/>
    <mergeCell ref="D52:E52"/>
    <mergeCell ref="D53:E53"/>
    <mergeCell ref="D54:E54"/>
    <mergeCell ref="C44:D44"/>
    <mergeCell ref="C45:D45"/>
    <mergeCell ref="F49:G49"/>
    <mergeCell ref="F50:G50"/>
    <mergeCell ref="D49:E49"/>
    <mergeCell ref="D50:E50"/>
    <mergeCell ref="H49:I49"/>
    <mergeCell ref="H50:I50"/>
    <mergeCell ref="E44:F44"/>
    <mergeCell ref="E45:F45"/>
    <mergeCell ref="G43:H43"/>
    <mergeCell ref="G36:H36"/>
    <mergeCell ref="G37:H37"/>
    <mergeCell ref="G38:H38"/>
    <mergeCell ref="G39:H39"/>
    <mergeCell ref="E36:F36"/>
    <mergeCell ref="E37:F37"/>
    <mergeCell ref="E42:F42"/>
    <mergeCell ref="E43:F43"/>
    <mergeCell ref="E38:F38"/>
    <mergeCell ref="E39:F39"/>
    <mergeCell ref="E40:F40"/>
    <mergeCell ref="E41:F41"/>
    <mergeCell ref="C40:D40"/>
    <mergeCell ref="C41:D41"/>
    <mergeCell ref="C42:D42"/>
    <mergeCell ref="C43:D43"/>
    <mergeCell ref="C36:D36"/>
    <mergeCell ref="C37:D37"/>
    <mergeCell ref="C38:D38"/>
    <mergeCell ref="C39:D39"/>
    <mergeCell ref="C34:D34"/>
    <mergeCell ref="C35:D35"/>
    <mergeCell ref="G34:H34"/>
    <mergeCell ref="G35:H35"/>
    <mergeCell ref="E34:F34"/>
    <mergeCell ref="E35:F35"/>
    <mergeCell ref="A29:B29"/>
    <mergeCell ref="A30:B30"/>
    <mergeCell ref="C29:D29"/>
    <mergeCell ref="C30:D30"/>
    <mergeCell ref="E24:F24"/>
    <mergeCell ref="A25:B25"/>
    <mergeCell ref="C25:D25"/>
    <mergeCell ref="E25:F25"/>
    <mergeCell ref="A9:B9"/>
    <mergeCell ref="A10:B10"/>
    <mergeCell ref="A24:B24"/>
    <mergeCell ref="C24:D24"/>
    <mergeCell ref="B5:K5"/>
    <mergeCell ref="A2:K2"/>
    <mergeCell ref="A3:K3"/>
    <mergeCell ref="A4:L4"/>
    <mergeCell ref="J60:K60"/>
    <mergeCell ref="J58:K58"/>
    <mergeCell ref="G24:H24"/>
    <mergeCell ref="I24:J24"/>
    <mergeCell ref="G25:H25"/>
    <mergeCell ref="I25:J25"/>
    <mergeCell ref="G44:H44"/>
    <mergeCell ref="G45:H45"/>
    <mergeCell ref="F51:G51"/>
    <mergeCell ref="F52:G52"/>
    <mergeCell ref="J56:K56"/>
    <mergeCell ref="J54:K54"/>
    <mergeCell ref="J52:K52"/>
    <mergeCell ref="G29:H29"/>
    <mergeCell ref="G30:H30"/>
    <mergeCell ref="H55:I55"/>
    <mergeCell ref="H56:I56"/>
    <mergeCell ref="G40:H40"/>
    <mergeCell ref="G41:H41"/>
    <mergeCell ref="G42:H42"/>
  </mergeCells>
  <hyperlinks>
    <hyperlink ref="B5:K5" r:id="rId1" display="http://www.geocities.com/MotorCity/Speedway/1641/"/>
  </hyperlinks>
  <printOptions/>
  <pageMargins left="0.75" right="0.75" top="1" bottom="1" header="0.5" footer="0.5"/>
  <pageSetup horizontalDpi="300" verticalDpi="300" orientation="landscape" r:id="rId4"/>
  <legacyDrawing r:id="rId3"/>
</worksheet>
</file>

<file path=xl/worksheets/sheet13.xml><?xml version="1.0" encoding="utf-8"?>
<worksheet xmlns="http://schemas.openxmlformats.org/spreadsheetml/2006/main" xmlns:r="http://schemas.openxmlformats.org/officeDocument/2006/relationships">
  <sheetPr codeName="Sheet8"/>
  <dimension ref="A2:K58"/>
  <sheetViews>
    <sheetView zoomScale="75" zoomScaleNormal="75" workbookViewId="0" topLeftCell="A1">
      <selection activeCell="A1" sqref="A1"/>
    </sheetView>
  </sheetViews>
  <sheetFormatPr defaultColWidth="9.140625" defaultRowHeight="12.75"/>
  <cols>
    <col min="1" max="1" width="10.28125" style="0" customWidth="1"/>
  </cols>
  <sheetData>
    <row r="2" ht="12.75">
      <c r="A2" s="5" t="s">
        <v>95</v>
      </c>
    </row>
    <row r="4" spans="1:4" ht="12.75">
      <c r="A4" s="44" t="s">
        <v>96</v>
      </c>
      <c r="B4" s="44" t="s">
        <v>97</v>
      </c>
      <c r="C4" s="360" t="s">
        <v>98</v>
      </c>
      <c r="D4" s="360"/>
    </row>
    <row r="5" spans="1:4" ht="12.75">
      <c r="A5" s="95">
        <v>13.5</v>
      </c>
      <c r="B5" s="95">
        <v>0.5</v>
      </c>
      <c r="C5" s="253">
        <v>2</v>
      </c>
      <c r="D5" s="254"/>
    </row>
    <row r="7" spans="1:3" ht="13.5" thickBot="1">
      <c r="A7" s="268" t="s">
        <v>99</v>
      </c>
      <c r="B7" s="268"/>
      <c r="C7" s="268"/>
    </row>
    <row r="8" spans="1:8" ht="13.5" thickBot="1">
      <c r="A8" s="21" t="s">
        <v>96</v>
      </c>
      <c r="B8" s="314">
        <f>PRODUCT(B5,C5)</f>
        <v>1</v>
      </c>
      <c r="C8" s="297"/>
      <c r="H8" s="7"/>
    </row>
    <row r="9" spans="1:3" ht="13.5" thickBot="1">
      <c r="A9" s="21" t="s">
        <v>97</v>
      </c>
      <c r="B9" s="314">
        <f>A5/C5</f>
        <v>6.75</v>
      </c>
      <c r="C9" s="297"/>
    </row>
    <row r="10" spans="1:3" ht="13.5" thickBot="1">
      <c r="A10" s="21" t="s">
        <v>98</v>
      </c>
      <c r="B10" s="314">
        <f>A5/B5</f>
        <v>27</v>
      </c>
      <c r="C10" s="297"/>
    </row>
    <row r="12" ht="12.75">
      <c r="A12" s="5" t="s">
        <v>100</v>
      </c>
    </row>
    <row r="14" ht="12.75">
      <c r="A14" s="5" t="s">
        <v>101</v>
      </c>
    </row>
    <row r="16" spans="1:7" ht="13.5" thickBot="1">
      <c r="A16" s="3" t="s">
        <v>96</v>
      </c>
      <c r="B16" s="313" t="s">
        <v>97</v>
      </c>
      <c r="C16" s="313"/>
      <c r="E16" s="361" t="s">
        <v>102</v>
      </c>
      <c r="F16" s="361"/>
      <c r="G16" s="361"/>
    </row>
    <row r="17" spans="1:7" ht="13.5" thickBot="1">
      <c r="A17" s="95">
        <v>12</v>
      </c>
      <c r="B17" s="253">
        <v>0.5</v>
      </c>
      <c r="C17" s="254"/>
      <c r="E17" s="314">
        <f>PRODUCT(A17,B17)</f>
        <v>6</v>
      </c>
      <c r="F17" s="296"/>
      <c r="G17" s="297"/>
    </row>
    <row r="19" spans="1:7" ht="13.5" thickBot="1">
      <c r="A19" s="3" t="s">
        <v>103</v>
      </c>
      <c r="B19" s="313" t="s">
        <v>98</v>
      </c>
      <c r="C19" s="313"/>
      <c r="E19" s="361" t="s">
        <v>104</v>
      </c>
      <c r="F19" s="361"/>
      <c r="G19" s="361"/>
    </row>
    <row r="20" spans="1:7" ht="13.5" thickBot="1">
      <c r="A20" s="95">
        <v>12</v>
      </c>
      <c r="B20" s="253">
        <v>50</v>
      </c>
      <c r="C20" s="254"/>
      <c r="E20" s="314">
        <f>A20/B20</f>
        <v>0.24</v>
      </c>
      <c r="F20" s="296"/>
      <c r="G20" s="297"/>
    </row>
    <row r="22" ht="12.75">
      <c r="A22" s="5" t="s">
        <v>105</v>
      </c>
    </row>
    <row r="24" spans="1:11" ht="13.5" thickBot="1">
      <c r="A24" s="313" t="s">
        <v>106</v>
      </c>
      <c r="B24" s="313"/>
      <c r="C24" s="313" t="s">
        <v>107</v>
      </c>
      <c r="D24" s="313"/>
      <c r="E24" s="313" t="s">
        <v>108</v>
      </c>
      <c r="F24" s="313"/>
      <c r="G24" s="361" t="s">
        <v>109</v>
      </c>
      <c r="H24" s="361"/>
      <c r="I24" s="361"/>
      <c r="J24" s="361"/>
      <c r="K24" s="361"/>
    </row>
    <row r="25" spans="1:11" ht="13.5" thickBot="1">
      <c r="A25" s="253">
        <v>12</v>
      </c>
      <c r="B25" s="254"/>
      <c r="C25" s="253">
        <v>2</v>
      </c>
      <c r="D25" s="254"/>
      <c r="E25" s="253">
        <v>4</v>
      </c>
      <c r="F25" s="254"/>
      <c r="G25" s="296">
        <f>A25/(C25+E25)</f>
        <v>2</v>
      </c>
      <c r="H25" s="296"/>
      <c r="I25" s="296"/>
      <c r="J25" s="296"/>
      <c r="K25" s="297"/>
    </row>
    <row r="27" spans="1:7" ht="13.5" thickBot="1">
      <c r="A27" s="361" t="s">
        <v>110</v>
      </c>
      <c r="B27" s="361"/>
      <c r="C27" s="361"/>
      <c r="D27" s="361" t="s">
        <v>111</v>
      </c>
      <c r="E27" s="361"/>
      <c r="F27" s="361"/>
      <c r="G27" s="361"/>
    </row>
    <row r="28" spans="1:7" ht="13.5" thickBot="1">
      <c r="A28" s="314">
        <f>PRODUCT(G25,C25)</f>
        <v>4</v>
      </c>
      <c r="B28" s="296"/>
      <c r="C28" s="297"/>
      <c r="D28" s="314">
        <f>PRODUCT(G25,E25)</f>
        <v>8</v>
      </c>
      <c r="E28" s="296"/>
      <c r="F28" s="296"/>
      <c r="G28" s="297"/>
    </row>
    <row r="29" ht="12.75">
      <c r="A29" t="s">
        <v>543</v>
      </c>
    </row>
    <row r="31" ht="12.75">
      <c r="A31" s="5" t="s">
        <v>112</v>
      </c>
    </row>
    <row r="33" spans="1:8" ht="13.5" thickBot="1">
      <c r="A33" s="313" t="s">
        <v>96</v>
      </c>
      <c r="B33" s="313"/>
      <c r="C33" s="313" t="s">
        <v>97</v>
      </c>
      <c r="D33" s="313"/>
      <c r="E33" s="361" t="s">
        <v>113</v>
      </c>
      <c r="F33" s="361"/>
      <c r="G33" s="361"/>
      <c r="H33" s="361"/>
    </row>
    <row r="34" spans="1:8" ht="13.5" thickBot="1">
      <c r="A34" s="253">
        <v>12</v>
      </c>
      <c r="B34" s="254"/>
      <c r="C34" s="253">
        <v>0.5</v>
      </c>
      <c r="D34" s="254"/>
      <c r="E34" s="296">
        <f>PRODUCT(A34,C34)</f>
        <v>6</v>
      </c>
      <c r="F34" s="296"/>
      <c r="G34" s="296"/>
      <c r="H34" s="297"/>
    </row>
    <row r="36" spans="1:8" ht="13.5" thickBot="1">
      <c r="A36" s="313" t="s">
        <v>107</v>
      </c>
      <c r="B36" s="313"/>
      <c r="C36" s="313" t="s">
        <v>108</v>
      </c>
      <c r="D36" s="313"/>
      <c r="E36" s="313" t="s">
        <v>114</v>
      </c>
      <c r="F36" s="313"/>
      <c r="G36" s="361" t="s">
        <v>115</v>
      </c>
      <c r="H36" s="361"/>
    </row>
    <row r="37" spans="1:8" ht="13.5" thickBot="1">
      <c r="A37" s="253">
        <v>6</v>
      </c>
      <c r="B37" s="254"/>
      <c r="C37" s="253">
        <v>3</v>
      </c>
      <c r="D37" s="254"/>
      <c r="E37" s="253">
        <v>1</v>
      </c>
      <c r="F37" s="254"/>
      <c r="G37" s="296">
        <f>1/((1/A37)+(1/C37))</f>
        <v>2</v>
      </c>
      <c r="H37" s="297"/>
    </row>
    <row r="39" ht="12.75">
      <c r="A39" s="5" t="s">
        <v>116</v>
      </c>
    </row>
    <row r="41" spans="1:8" ht="13.5" thickBot="1">
      <c r="A41" s="313" t="s">
        <v>96</v>
      </c>
      <c r="B41" s="313"/>
      <c r="C41" s="313" t="s">
        <v>107</v>
      </c>
      <c r="D41" s="313"/>
      <c r="E41" s="313" t="s">
        <v>108</v>
      </c>
      <c r="F41" s="313"/>
      <c r="G41" s="361" t="s">
        <v>117</v>
      </c>
      <c r="H41" s="361"/>
    </row>
    <row r="42" spans="1:8" ht="13.5" thickBot="1">
      <c r="A42" s="253">
        <v>12</v>
      </c>
      <c r="B42" s="254"/>
      <c r="C42" s="253">
        <v>6</v>
      </c>
      <c r="D42" s="254"/>
      <c r="E42" s="253">
        <v>3</v>
      </c>
      <c r="F42" s="290"/>
      <c r="G42" s="314">
        <f>SUM(A42/C42,A42/E42)</f>
        <v>6</v>
      </c>
      <c r="H42" s="297"/>
    </row>
    <row r="44" ht="12.75">
      <c r="A44" s="5" t="s">
        <v>118</v>
      </c>
    </row>
    <row r="46" spans="2:3" ht="13.5" thickBot="1">
      <c r="B46" s="22" t="s">
        <v>119</v>
      </c>
      <c r="C46" s="22" t="s">
        <v>120</v>
      </c>
    </row>
    <row r="47" spans="2:3" ht="13.5" thickBot="1">
      <c r="B47" s="53">
        <f>A42/C42</f>
        <v>2</v>
      </c>
      <c r="C47" s="53">
        <f>A42/E42</f>
        <v>4</v>
      </c>
    </row>
    <row r="49" ht="12.75">
      <c r="A49" s="5" t="s">
        <v>121</v>
      </c>
    </row>
    <row r="51" spans="1:6" ht="13.5" thickBot="1">
      <c r="A51" s="313" t="s">
        <v>96</v>
      </c>
      <c r="B51" s="313"/>
      <c r="C51" s="313" t="s">
        <v>98</v>
      </c>
      <c r="D51" s="313"/>
      <c r="E51" s="361" t="s">
        <v>122</v>
      </c>
      <c r="F51" s="361"/>
    </row>
    <row r="52" spans="1:6" ht="13.5" thickBot="1">
      <c r="A52" s="253">
        <v>13.5</v>
      </c>
      <c r="B52" s="254"/>
      <c r="C52" s="253">
        <v>0.85</v>
      </c>
      <c r="D52" s="254"/>
      <c r="E52" s="296">
        <f>POWER(A52,2)/C52</f>
        <v>214.411764705882</v>
      </c>
      <c r="F52" s="297"/>
    </row>
    <row r="54" spans="1:6" ht="13.5" thickBot="1">
      <c r="A54" s="313" t="s">
        <v>96</v>
      </c>
      <c r="B54" s="313"/>
      <c r="C54" s="313" t="s">
        <v>97</v>
      </c>
      <c r="D54" s="313"/>
      <c r="E54" s="361" t="s">
        <v>122</v>
      </c>
      <c r="F54" s="361"/>
    </row>
    <row r="55" spans="1:6" ht="13.5" thickBot="1">
      <c r="A55" s="253">
        <v>13.5</v>
      </c>
      <c r="B55" s="254"/>
      <c r="C55" s="253">
        <v>15</v>
      </c>
      <c r="D55" s="254"/>
      <c r="E55" s="296">
        <f>PRODUCT(A55,C55)</f>
        <v>202.5</v>
      </c>
      <c r="F55" s="297"/>
    </row>
    <row r="57" spans="1:6" ht="13.5" thickBot="1">
      <c r="A57" s="313" t="s">
        <v>123</v>
      </c>
      <c r="B57" s="313"/>
      <c r="C57" s="313" t="s">
        <v>98</v>
      </c>
      <c r="D57" s="313"/>
      <c r="E57" s="361" t="s">
        <v>122</v>
      </c>
      <c r="F57" s="361"/>
    </row>
    <row r="58" spans="1:6" ht="13.5" thickBot="1">
      <c r="A58" s="253">
        <v>15</v>
      </c>
      <c r="B58" s="254"/>
      <c r="C58" s="253">
        <v>0.85</v>
      </c>
      <c r="D58" s="254"/>
      <c r="E58" s="296">
        <f>POWER(A58,2)*C58</f>
        <v>191.25</v>
      </c>
      <c r="F58" s="297"/>
    </row>
  </sheetData>
  <mergeCells count="66">
    <mergeCell ref="A58:B58"/>
    <mergeCell ref="A57:B57"/>
    <mergeCell ref="E57:F57"/>
    <mergeCell ref="E58:F58"/>
    <mergeCell ref="C58:D58"/>
    <mergeCell ref="C57:D57"/>
    <mergeCell ref="C55:D55"/>
    <mergeCell ref="C54:D54"/>
    <mergeCell ref="A54:B54"/>
    <mergeCell ref="A55:B55"/>
    <mergeCell ref="E51:F51"/>
    <mergeCell ref="E52:F52"/>
    <mergeCell ref="E54:F54"/>
    <mergeCell ref="E55:F55"/>
    <mergeCell ref="A51:B51"/>
    <mergeCell ref="A52:B52"/>
    <mergeCell ref="C51:D51"/>
    <mergeCell ref="C52:D52"/>
    <mergeCell ref="G42:H42"/>
    <mergeCell ref="E42:F42"/>
    <mergeCell ref="C42:D42"/>
    <mergeCell ref="A42:B42"/>
    <mergeCell ref="G36:H36"/>
    <mergeCell ref="G37:H37"/>
    <mergeCell ref="A41:B41"/>
    <mergeCell ref="C41:D41"/>
    <mergeCell ref="E41:F41"/>
    <mergeCell ref="G41:H41"/>
    <mergeCell ref="A36:B36"/>
    <mergeCell ref="C36:D36"/>
    <mergeCell ref="E36:F36"/>
    <mergeCell ref="E37:F37"/>
    <mergeCell ref="C37:D37"/>
    <mergeCell ref="A37:B37"/>
    <mergeCell ref="A33:B33"/>
    <mergeCell ref="C33:D33"/>
    <mergeCell ref="E33:H33"/>
    <mergeCell ref="E34:H34"/>
    <mergeCell ref="C34:D34"/>
    <mergeCell ref="A34:B34"/>
    <mergeCell ref="A27:C27"/>
    <mergeCell ref="A28:C28"/>
    <mergeCell ref="D27:G27"/>
    <mergeCell ref="D28:G28"/>
    <mergeCell ref="E24:F24"/>
    <mergeCell ref="E25:F25"/>
    <mergeCell ref="G24:K24"/>
    <mergeCell ref="G25:K25"/>
    <mergeCell ref="B20:C20"/>
    <mergeCell ref="B19:C19"/>
    <mergeCell ref="A24:B24"/>
    <mergeCell ref="A25:B25"/>
    <mergeCell ref="C24:D24"/>
    <mergeCell ref="C25:D25"/>
    <mergeCell ref="E16:G16"/>
    <mergeCell ref="E17:G17"/>
    <mergeCell ref="E19:G19"/>
    <mergeCell ref="E20:G20"/>
    <mergeCell ref="B9:C9"/>
    <mergeCell ref="B10:C10"/>
    <mergeCell ref="B16:C16"/>
    <mergeCell ref="B17:C17"/>
    <mergeCell ref="C4:D4"/>
    <mergeCell ref="C5:D5"/>
    <mergeCell ref="A7:C7"/>
    <mergeCell ref="B8:C8"/>
  </mergeCells>
  <printOptions/>
  <pageMargins left="0.75" right="0.75" top="1" bottom="1" header="0.5" footer="0.5"/>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H120"/>
  <sheetViews>
    <sheetView workbookViewId="0" topLeftCell="A82">
      <selection activeCell="A1" sqref="A1:H1"/>
    </sheetView>
  </sheetViews>
  <sheetFormatPr defaultColWidth="9.140625" defaultRowHeight="12.75"/>
  <cols>
    <col min="2" max="2" width="33.421875" style="0" bestFit="1" customWidth="1"/>
    <col min="3" max="3" width="80.00390625" style="0" bestFit="1" customWidth="1"/>
    <col min="4" max="4" width="56.57421875" style="0" bestFit="1" customWidth="1"/>
    <col min="9" max="9" width="11.421875" style="0" customWidth="1"/>
  </cols>
  <sheetData>
    <row r="1" spans="1:8" ht="12.75">
      <c r="A1" s="295" t="s">
        <v>728</v>
      </c>
      <c r="B1" s="295"/>
      <c r="C1" s="295"/>
      <c r="D1" s="295"/>
      <c r="E1" s="295"/>
      <c r="F1" s="295"/>
      <c r="G1" s="295"/>
      <c r="H1" s="295"/>
    </row>
    <row r="2" ht="12.75">
      <c r="A2" t="s">
        <v>729</v>
      </c>
    </row>
    <row r="3" ht="12.75">
      <c r="A3" t="s">
        <v>730</v>
      </c>
    </row>
    <row r="4" ht="12.75">
      <c r="A4" t="s">
        <v>731</v>
      </c>
    </row>
    <row r="6" spans="1:7" ht="12.75">
      <c r="A6" s="295" t="s">
        <v>933</v>
      </c>
      <c r="B6" s="295"/>
      <c r="C6" s="295"/>
      <c r="D6" s="295"/>
      <c r="E6" s="295"/>
      <c r="F6" s="295"/>
      <c r="G6" s="295"/>
    </row>
    <row r="7" spans="1:6" ht="13.5" thickBot="1">
      <c r="A7" s="5" t="s">
        <v>934</v>
      </c>
      <c r="B7" s="295" t="s">
        <v>935</v>
      </c>
      <c r="C7" s="295"/>
      <c r="D7" s="337" t="s">
        <v>936</v>
      </c>
      <c r="E7" s="337"/>
      <c r="F7" s="337"/>
    </row>
    <row r="8" spans="1:6" ht="13.5" thickBot="1">
      <c r="A8" s="231" t="s">
        <v>734</v>
      </c>
      <c r="B8" s="362" t="str">
        <f>VLOOKUP(A8,A11:D120,2,FALSE)</f>
        <v>Ignition Coil, Ignition Distributor</v>
      </c>
      <c r="C8" s="363"/>
      <c r="D8" s="362" t="str">
        <f>VLOOKUP(A8,A11:D120,3,FALSE)</f>
        <v>To contact breaker I</v>
      </c>
      <c r="E8" s="364"/>
      <c r="F8" s="363"/>
    </row>
    <row r="10" spans="1:3" ht="12.75">
      <c r="A10" s="5" t="s">
        <v>732</v>
      </c>
      <c r="B10" s="5" t="s">
        <v>736</v>
      </c>
      <c r="C10" s="5" t="s">
        <v>733</v>
      </c>
    </row>
    <row r="11" spans="1:3" ht="12.75">
      <c r="A11" s="1">
        <v>1</v>
      </c>
      <c r="B11" t="s">
        <v>737</v>
      </c>
      <c r="C11" t="s">
        <v>818</v>
      </c>
    </row>
    <row r="12" spans="1:3" ht="12.75">
      <c r="A12" s="1" t="s">
        <v>734</v>
      </c>
      <c r="B12" t="s">
        <v>737</v>
      </c>
      <c r="C12" t="s">
        <v>819</v>
      </c>
    </row>
    <row r="13" spans="1:3" ht="12.75">
      <c r="A13" s="1" t="s">
        <v>735</v>
      </c>
      <c r="B13" t="s">
        <v>737</v>
      </c>
      <c r="C13" t="s">
        <v>820</v>
      </c>
    </row>
    <row r="14" spans="1:3" ht="12.75">
      <c r="A14" s="1">
        <v>4</v>
      </c>
      <c r="B14" t="s">
        <v>737</v>
      </c>
      <c r="C14" t="s">
        <v>821</v>
      </c>
    </row>
    <row r="15" spans="1:3" ht="12.75">
      <c r="A15" s="1" t="s">
        <v>738</v>
      </c>
      <c r="B15" t="s">
        <v>737</v>
      </c>
      <c r="C15" t="s">
        <v>822</v>
      </c>
    </row>
    <row r="16" spans="1:3" ht="12.75">
      <c r="A16" s="1" t="s">
        <v>739</v>
      </c>
      <c r="B16" t="s">
        <v>737</v>
      </c>
      <c r="C16" t="s">
        <v>823</v>
      </c>
    </row>
    <row r="17" spans="1:3" ht="12.75">
      <c r="A17" s="1">
        <v>15</v>
      </c>
      <c r="B17" t="s">
        <v>737</v>
      </c>
      <c r="C17" t="s">
        <v>824</v>
      </c>
    </row>
    <row r="18" spans="1:3" ht="12.75">
      <c r="A18" s="1" t="s">
        <v>740</v>
      </c>
      <c r="B18" t="s">
        <v>737</v>
      </c>
      <c r="C18" t="s">
        <v>825</v>
      </c>
    </row>
    <row r="19" spans="1:3" ht="12.75">
      <c r="A19" s="1">
        <v>17</v>
      </c>
      <c r="B19" t="s">
        <v>828</v>
      </c>
      <c r="C19" t="s">
        <v>826</v>
      </c>
    </row>
    <row r="20" spans="1:3" ht="12.75">
      <c r="A20" s="1">
        <v>19</v>
      </c>
      <c r="B20" t="s">
        <v>828</v>
      </c>
      <c r="C20" t="s">
        <v>827</v>
      </c>
    </row>
    <row r="21" spans="1:3" ht="12.75">
      <c r="A21" s="1">
        <v>30</v>
      </c>
      <c r="B21" t="s">
        <v>829</v>
      </c>
      <c r="C21" t="s">
        <v>830</v>
      </c>
    </row>
    <row r="22" spans="1:3" ht="12.75">
      <c r="A22" s="1" t="s">
        <v>741</v>
      </c>
      <c r="B22" t="s">
        <v>829</v>
      </c>
      <c r="C22" t="s">
        <v>831</v>
      </c>
    </row>
    <row r="23" spans="1:3" ht="12.75">
      <c r="A23" s="1">
        <v>31</v>
      </c>
      <c r="B23" t="s">
        <v>829</v>
      </c>
      <c r="C23" t="s">
        <v>832</v>
      </c>
    </row>
    <row r="24" spans="1:3" ht="12.75">
      <c r="A24" s="1" t="s">
        <v>742</v>
      </c>
      <c r="B24" t="s">
        <v>829</v>
      </c>
      <c r="C24" t="s">
        <v>834</v>
      </c>
    </row>
    <row r="25" spans="1:3" ht="12.75">
      <c r="A25" s="1" t="s">
        <v>743</v>
      </c>
      <c r="B25" t="s">
        <v>829</v>
      </c>
      <c r="C25" t="s">
        <v>833</v>
      </c>
    </row>
    <row r="26" spans="1:3" ht="12.75">
      <c r="A26" s="1" t="s">
        <v>744</v>
      </c>
      <c r="B26" t="s">
        <v>829</v>
      </c>
      <c r="C26" t="s">
        <v>835</v>
      </c>
    </row>
    <row r="27" spans="1:3" ht="12.75">
      <c r="A27" s="1">
        <v>32</v>
      </c>
      <c r="B27" t="s">
        <v>836</v>
      </c>
      <c r="C27" t="s">
        <v>837</v>
      </c>
    </row>
    <row r="28" spans="1:3" ht="12.75">
      <c r="A28" s="1">
        <v>33</v>
      </c>
      <c r="B28" t="s">
        <v>836</v>
      </c>
      <c r="C28" t="s">
        <v>838</v>
      </c>
    </row>
    <row r="29" spans="1:3" ht="12.75">
      <c r="A29" s="1" t="s">
        <v>745</v>
      </c>
      <c r="B29" t="s">
        <v>836</v>
      </c>
      <c r="C29" t="s">
        <v>839</v>
      </c>
    </row>
    <row r="30" spans="1:3" ht="12.75">
      <c r="A30" s="1" t="s">
        <v>746</v>
      </c>
      <c r="B30" t="s">
        <v>836</v>
      </c>
      <c r="C30" t="s">
        <v>840</v>
      </c>
    </row>
    <row r="31" spans="1:3" ht="12.75">
      <c r="A31" s="1" t="s">
        <v>747</v>
      </c>
      <c r="B31" t="s">
        <v>836</v>
      </c>
      <c r="C31" t="s">
        <v>841</v>
      </c>
    </row>
    <row r="32" spans="1:3" ht="12.75">
      <c r="A32" s="1" t="s">
        <v>748</v>
      </c>
      <c r="B32" t="s">
        <v>836</v>
      </c>
      <c r="C32" t="s">
        <v>842</v>
      </c>
    </row>
    <row r="33" spans="1:3" ht="12.75">
      <c r="A33" s="1" t="s">
        <v>749</v>
      </c>
      <c r="B33" t="s">
        <v>836</v>
      </c>
      <c r="C33" t="s">
        <v>843</v>
      </c>
    </row>
    <row r="34" spans="1:3" ht="12.75">
      <c r="A34" s="1" t="s">
        <v>750</v>
      </c>
      <c r="B34" t="s">
        <v>836</v>
      </c>
      <c r="C34" t="s">
        <v>844</v>
      </c>
    </row>
    <row r="35" spans="1:3" ht="12.75">
      <c r="A35" s="1" t="s">
        <v>751</v>
      </c>
      <c r="B35" t="s">
        <v>836</v>
      </c>
      <c r="C35" t="s">
        <v>845</v>
      </c>
    </row>
    <row r="36" spans="1:3" ht="12.75">
      <c r="A36" s="1">
        <v>45</v>
      </c>
      <c r="B36" t="s">
        <v>846</v>
      </c>
      <c r="C36" t="s">
        <v>847</v>
      </c>
    </row>
    <row r="37" spans="1:3" ht="12.75">
      <c r="A37" s="1" t="s">
        <v>752</v>
      </c>
      <c r="B37" t="s">
        <v>846</v>
      </c>
      <c r="C37" t="s">
        <v>848</v>
      </c>
    </row>
    <row r="38" spans="1:3" ht="12.75">
      <c r="A38" s="1" t="s">
        <v>753</v>
      </c>
      <c r="B38" t="s">
        <v>846</v>
      </c>
      <c r="C38" t="s">
        <v>849</v>
      </c>
    </row>
    <row r="39" spans="1:3" ht="12.75">
      <c r="A39" s="1">
        <v>48</v>
      </c>
      <c r="B39" t="s">
        <v>846</v>
      </c>
      <c r="C39" t="s">
        <v>850</v>
      </c>
    </row>
    <row r="40" spans="1:3" ht="12.75">
      <c r="A40" s="1">
        <v>49</v>
      </c>
      <c r="B40" t="s">
        <v>851</v>
      </c>
      <c r="C40" t="s">
        <v>852</v>
      </c>
    </row>
    <row r="41" spans="1:3" ht="12.75">
      <c r="A41" s="1" t="s">
        <v>754</v>
      </c>
      <c r="B41" t="s">
        <v>851</v>
      </c>
      <c r="C41" t="s">
        <v>853</v>
      </c>
    </row>
    <row r="42" spans="1:3" ht="12.75">
      <c r="A42" s="1" t="s">
        <v>755</v>
      </c>
      <c r="B42" t="s">
        <v>851</v>
      </c>
      <c r="C42" t="s">
        <v>854</v>
      </c>
    </row>
    <row r="43" spans="1:3" ht="12.75">
      <c r="A43" s="1" t="s">
        <v>756</v>
      </c>
      <c r="B43" t="s">
        <v>851</v>
      </c>
      <c r="C43" t="s">
        <v>855</v>
      </c>
    </row>
    <row r="44" spans="1:3" ht="12.75">
      <c r="A44" s="1">
        <v>50</v>
      </c>
      <c r="B44" t="s">
        <v>846</v>
      </c>
      <c r="C44" t="s">
        <v>856</v>
      </c>
    </row>
    <row r="45" spans="1:3" ht="12.75">
      <c r="A45" s="1" t="s">
        <v>757</v>
      </c>
      <c r="B45" t="s">
        <v>846</v>
      </c>
      <c r="C45" t="s">
        <v>857</v>
      </c>
    </row>
    <row r="46" spans="1:3" ht="12.75">
      <c r="A46" s="1" t="s">
        <v>758</v>
      </c>
      <c r="B46" t="s">
        <v>846</v>
      </c>
      <c r="C46" t="s">
        <v>858</v>
      </c>
    </row>
    <row r="47" spans="1:3" ht="12.75">
      <c r="A47" s="1" t="s">
        <v>759</v>
      </c>
      <c r="B47" t="s">
        <v>846</v>
      </c>
      <c r="C47" t="s">
        <v>859</v>
      </c>
    </row>
    <row r="48" spans="1:3" ht="12.75">
      <c r="A48" s="1" t="s">
        <v>760</v>
      </c>
      <c r="B48" t="s">
        <v>846</v>
      </c>
      <c r="C48" t="s">
        <v>860</v>
      </c>
    </row>
    <row r="49" spans="1:3" ht="12.75">
      <c r="A49" s="1" t="s">
        <v>761</v>
      </c>
      <c r="B49" t="s">
        <v>846</v>
      </c>
      <c r="C49" t="s">
        <v>852</v>
      </c>
    </row>
    <row r="50" spans="1:3" ht="12.75">
      <c r="A50" s="1" t="s">
        <v>762</v>
      </c>
      <c r="B50" t="s">
        <v>846</v>
      </c>
      <c r="C50" t="s">
        <v>853</v>
      </c>
    </row>
    <row r="51" spans="1:3" ht="12.75">
      <c r="A51" s="1" t="s">
        <v>763</v>
      </c>
      <c r="B51" t="s">
        <v>846</v>
      </c>
      <c r="C51" t="s">
        <v>861</v>
      </c>
    </row>
    <row r="52" spans="1:3" ht="12.75">
      <c r="A52" s="1" t="s">
        <v>764</v>
      </c>
      <c r="B52" t="s">
        <v>846</v>
      </c>
      <c r="C52" t="s">
        <v>862</v>
      </c>
    </row>
    <row r="53" spans="1:3" ht="12.75">
      <c r="A53" s="1">
        <v>53</v>
      </c>
      <c r="B53" t="s">
        <v>863</v>
      </c>
      <c r="C53" t="s">
        <v>864</v>
      </c>
    </row>
    <row r="54" spans="1:3" ht="12.75">
      <c r="A54" s="1" t="s">
        <v>765</v>
      </c>
      <c r="B54" t="s">
        <v>863</v>
      </c>
      <c r="C54" t="s">
        <v>865</v>
      </c>
    </row>
    <row r="55" spans="1:3" ht="12.75">
      <c r="A55" s="1" t="s">
        <v>766</v>
      </c>
      <c r="B55" t="s">
        <v>863</v>
      </c>
      <c r="C55" t="s">
        <v>866</v>
      </c>
    </row>
    <row r="56" spans="1:3" ht="12.75">
      <c r="A56" s="1" t="s">
        <v>767</v>
      </c>
      <c r="B56" t="s">
        <v>863</v>
      </c>
      <c r="C56" t="s">
        <v>867</v>
      </c>
    </row>
    <row r="57" spans="1:3" ht="12.75">
      <c r="A57" s="1" t="s">
        <v>768</v>
      </c>
      <c r="B57" t="s">
        <v>863</v>
      </c>
      <c r="C57" t="s">
        <v>868</v>
      </c>
    </row>
    <row r="58" spans="1:3" ht="12.75">
      <c r="A58" s="1" t="s">
        <v>769</v>
      </c>
      <c r="B58" t="s">
        <v>863</v>
      </c>
      <c r="C58" t="s">
        <v>869</v>
      </c>
    </row>
    <row r="59" spans="1:3" ht="12.75">
      <c r="A59" s="1">
        <v>55</v>
      </c>
      <c r="B59" t="s">
        <v>870</v>
      </c>
      <c r="C59" t="s">
        <v>871</v>
      </c>
    </row>
    <row r="60" spans="1:3" ht="12.75">
      <c r="A60" s="1">
        <v>56</v>
      </c>
      <c r="B60" t="s">
        <v>870</v>
      </c>
      <c r="C60" t="s">
        <v>872</v>
      </c>
    </row>
    <row r="61" spans="1:3" ht="12.75">
      <c r="A61" s="1" t="s">
        <v>770</v>
      </c>
      <c r="B61" t="s">
        <v>870</v>
      </c>
      <c r="C61" t="s">
        <v>873</v>
      </c>
    </row>
    <row r="62" spans="1:3" ht="12.75">
      <c r="A62" s="1" t="s">
        <v>771</v>
      </c>
      <c r="B62" t="s">
        <v>870</v>
      </c>
      <c r="C62" t="s">
        <v>874</v>
      </c>
    </row>
    <row r="63" spans="1:3" ht="12.75">
      <c r="A63" s="1" t="s">
        <v>772</v>
      </c>
      <c r="B63" t="s">
        <v>870</v>
      </c>
      <c r="C63" t="s">
        <v>875</v>
      </c>
    </row>
    <row r="64" spans="1:3" ht="12.75">
      <c r="A64" s="1" t="s">
        <v>773</v>
      </c>
      <c r="B64" t="s">
        <v>870</v>
      </c>
      <c r="C64" t="s">
        <v>876</v>
      </c>
    </row>
    <row r="65" spans="1:3" ht="12.75">
      <c r="A65" s="1" t="s">
        <v>774</v>
      </c>
      <c r="B65" t="s">
        <v>870</v>
      </c>
      <c r="C65" t="s">
        <v>877</v>
      </c>
    </row>
    <row r="66" spans="1:3" ht="12.75">
      <c r="A66" s="1" t="s">
        <v>775</v>
      </c>
      <c r="B66" t="s">
        <v>870</v>
      </c>
      <c r="C66" t="s">
        <v>878</v>
      </c>
    </row>
    <row r="67" spans="1:3" ht="12.75">
      <c r="A67" s="1">
        <v>58</v>
      </c>
      <c r="B67" t="s">
        <v>870</v>
      </c>
      <c r="C67" t="s">
        <v>879</v>
      </c>
    </row>
    <row r="68" spans="1:3" ht="12.75">
      <c r="A68" s="1" t="s">
        <v>776</v>
      </c>
      <c r="B68" t="s">
        <v>870</v>
      </c>
      <c r="C68" t="s">
        <v>880</v>
      </c>
    </row>
    <row r="69" spans="1:3" ht="12.75">
      <c r="A69" s="1" t="s">
        <v>777</v>
      </c>
      <c r="B69" t="s">
        <v>870</v>
      </c>
      <c r="C69" t="s">
        <v>881</v>
      </c>
    </row>
    <row r="70" spans="1:3" ht="12.75">
      <c r="A70" s="1">
        <v>61</v>
      </c>
      <c r="B70" t="s">
        <v>882</v>
      </c>
      <c r="C70" t="s">
        <v>883</v>
      </c>
    </row>
    <row r="71" spans="1:3" ht="12.75">
      <c r="A71" s="1" t="s">
        <v>778</v>
      </c>
      <c r="B71" t="s">
        <v>882</v>
      </c>
      <c r="C71" t="s">
        <v>884</v>
      </c>
    </row>
    <row r="72" spans="1:3" ht="12.75">
      <c r="A72" s="1" t="s">
        <v>779</v>
      </c>
      <c r="B72" t="s">
        <v>882</v>
      </c>
      <c r="C72" t="s">
        <v>885</v>
      </c>
    </row>
    <row r="73" spans="1:3" ht="12.75">
      <c r="A73" s="1" t="s">
        <v>780</v>
      </c>
      <c r="B73" t="s">
        <v>882</v>
      </c>
      <c r="C73" t="s">
        <v>886</v>
      </c>
    </row>
    <row r="74" spans="1:3" ht="12.75">
      <c r="A74" s="1" t="s">
        <v>781</v>
      </c>
      <c r="B74" t="s">
        <v>882</v>
      </c>
      <c r="C74" t="s">
        <v>887</v>
      </c>
    </row>
    <row r="75" spans="1:3" ht="12.75">
      <c r="A75" s="1" t="s">
        <v>782</v>
      </c>
      <c r="B75" t="s">
        <v>882</v>
      </c>
      <c r="C75" t="s">
        <v>888</v>
      </c>
    </row>
    <row r="76" spans="1:3" ht="12.75">
      <c r="A76" s="1" t="s">
        <v>783</v>
      </c>
      <c r="B76" t="s">
        <v>882</v>
      </c>
      <c r="C76" t="s">
        <v>889</v>
      </c>
    </row>
    <row r="77" spans="1:3" ht="12.75">
      <c r="A77" s="1" t="s">
        <v>784</v>
      </c>
      <c r="B77" t="s">
        <v>882</v>
      </c>
      <c r="C77" t="s">
        <v>890</v>
      </c>
    </row>
    <row r="78" spans="1:3" ht="12.75">
      <c r="A78" s="1" t="s">
        <v>785</v>
      </c>
      <c r="B78" t="s">
        <v>882</v>
      </c>
      <c r="C78" t="s">
        <v>891</v>
      </c>
    </row>
    <row r="79" spans="1:3" ht="12.75">
      <c r="A79" s="1">
        <v>75</v>
      </c>
      <c r="B79" t="s">
        <v>892</v>
      </c>
      <c r="C79" t="s">
        <v>893</v>
      </c>
    </row>
    <row r="80" spans="1:3" ht="12.75">
      <c r="A80" s="1">
        <v>76</v>
      </c>
      <c r="B80" t="s">
        <v>892</v>
      </c>
      <c r="C80" t="s">
        <v>894</v>
      </c>
    </row>
    <row r="81" spans="1:3" ht="12.75">
      <c r="A81" s="1">
        <v>81</v>
      </c>
      <c r="B81" t="s">
        <v>895</v>
      </c>
      <c r="C81" t="s">
        <v>896</v>
      </c>
    </row>
    <row r="82" spans="1:3" ht="12.75">
      <c r="A82" s="1" t="s">
        <v>786</v>
      </c>
      <c r="B82" t="s">
        <v>895</v>
      </c>
      <c r="C82" t="s">
        <v>897</v>
      </c>
    </row>
    <row r="83" spans="1:3" ht="12.75">
      <c r="A83" s="1" t="s">
        <v>787</v>
      </c>
      <c r="B83" t="s">
        <v>895</v>
      </c>
      <c r="C83" t="s">
        <v>898</v>
      </c>
    </row>
    <row r="84" spans="1:3" ht="12.75">
      <c r="A84" s="1">
        <v>82</v>
      </c>
      <c r="B84" t="s">
        <v>895</v>
      </c>
      <c r="C84" t="s">
        <v>899</v>
      </c>
    </row>
    <row r="85" spans="1:3" ht="12.75">
      <c r="A85" s="1" t="s">
        <v>788</v>
      </c>
      <c r="B85" t="s">
        <v>895</v>
      </c>
      <c r="C85" t="s">
        <v>900</v>
      </c>
    </row>
    <row r="86" spans="1:3" ht="12.75">
      <c r="A86" s="1" t="s">
        <v>789</v>
      </c>
      <c r="B86" t="s">
        <v>895</v>
      </c>
      <c r="C86" t="s">
        <v>901</v>
      </c>
    </row>
    <row r="87" spans="1:3" ht="12.75">
      <c r="A87" s="1" t="s">
        <v>790</v>
      </c>
      <c r="B87" t="s">
        <v>895</v>
      </c>
      <c r="C87" t="s">
        <v>902</v>
      </c>
    </row>
    <row r="88" spans="1:3" ht="12.75">
      <c r="A88" s="1" t="s">
        <v>791</v>
      </c>
      <c r="B88" t="s">
        <v>895</v>
      </c>
      <c r="C88" t="s">
        <v>903</v>
      </c>
    </row>
    <row r="89" spans="1:3" ht="12.75">
      <c r="A89" s="1">
        <v>83</v>
      </c>
      <c r="B89" t="s">
        <v>895</v>
      </c>
      <c r="C89" t="s">
        <v>904</v>
      </c>
    </row>
    <row r="90" spans="1:3" ht="12.75">
      <c r="A90" s="1" t="s">
        <v>792</v>
      </c>
      <c r="B90" t="s">
        <v>895</v>
      </c>
      <c r="C90" t="s">
        <v>905</v>
      </c>
    </row>
    <row r="91" spans="1:3" ht="12.75">
      <c r="A91" s="1" t="s">
        <v>793</v>
      </c>
      <c r="B91" t="s">
        <v>895</v>
      </c>
      <c r="C91" t="s">
        <v>906</v>
      </c>
    </row>
    <row r="92" spans="1:3" ht="12.75">
      <c r="A92" s="1" t="s">
        <v>794</v>
      </c>
      <c r="B92" t="s">
        <v>895</v>
      </c>
      <c r="C92" t="s">
        <v>907</v>
      </c>
    </row>
    <row r="93" spans="1:3" ht="12.75">
      <c r="A93" s="1" t="s">
        <v>795</v>
      </c>
      <c r="B93" t="s">
        <v>895</v>
      </c>
      <c r="C93" t="s">
        <v>908</v>
      </c>
    </row>
    <row r="94" spans="1:3" ht="12.75">
      <c r="A94" s="1">
        <v>84</v>
      </c>
      <c r="B94" t="s">
        <v>909</v>
      </c>
      <c r="C94" t="s">
        <v>912</v>
      </c>
    </row>
    <row r="95" spans="1:3" ht="12.75">
      <c r="A95" s="1" t="s">
        <v>796</v>
      </c>
      <c r="B95" t="s">
        <v>909</v>
      </c>
      <c r="C95" t="s">
        <v>910</v>
      </c>
    </row>
    <row r="96" spans="1:3" ht="12.75">
      <c r="A96" s="1" t="s">
        <v>797</v>
      </c>
      <c r="B96" t="s">
        <v>909</v>
      </c>
      <c r="C96" t="s">
        <v>911</v>
      </c>
    </row>
    <row r="97" spans="1:3" ht="12.75">
      <c r="A97" s="1">
        <v>85</v>
      </c>
      <c r="B97" t="s">
        <v>913</v>
      </c>
      <c r="C97" t="s">
        <v>914</v>
      </c>
    </row>
    <row r="98" spans="1:3" ht="12.75">
      <c r="A98" s="1">
        <v>86</v>
      </c>
      <c r="B98" t="s">
        <v>913</v>
      </c>
      <c r="C98" t="s">
        <v>915</v>
      </c>
    </row>
    <row r="99" spans="1:3" ht="12.75">
      <c r="A99" s="1" t="s">
        <v>798</v>
      </c>
      <c r="B99" t="s">
        <v>913</v>
      </c>
      <c r="C99" t="s">
        <v>916</v>
      </c>
    </row>
    <row r="100" spans="1:3" ht="12.75">
      <c r="A100" s="1" t="s">
        <v>799</v>
      </c>
      <c r="B100" t="s">
        <v>913</v>
      </c>
      <c r="C100" t="s">
        <v>917</v>
      </c>
    </row>
    <row r="101" spans="1:3" ht="12.75">
      <c r="A101" s="1">
        <v>87</v>
      </c>
      <c r="B101" t="s">
        <v>913</v>
      </c>
      <c r="C101" t="s">
        <v>918</v>
      </c>
    </row>
    <row r="102" spans="1:3" ht="12.75">
      <c r="A102" s="1" t="s">
        <v>800</v>
      </c>
      <c r="B102" t="s">
        <v>913</v>
      </c>
      <c r="C102" t="s">
        <v>919</v>
      </c>
    </row>
    <row r="103" spans="1:3" ht="12.75">
      <c r="A103" s="1" t="s">
        <v>801</v>
      </c>
      <c r="B103" t="s">
        <v>913</v>
      </c>
      <c r="C103" t="s">
        <v>920</v>
      </c>
    </row>
    <row r="104" spans="1:3" ht="12.75">
      <c r="A104" s="1" t="s">
        <v>802</v>
      </c>
      <c r="B104" t="s">
        <v>913</v>
      </c>
      <c r="C104" t="s">
        <v>921</v>
      </c>
    </row>
    <row r="105" spans="1:3" ht="12.75">
      <c r="A105" s="1" t="s">
        <v>803</v>
      </c>
      <c r="B105" t="s">
        <v>913</v>
      </c>
      <c r="C105" t="s">
        <v>902</v>
      </c>
    </row>
    <row r="106" spans="1:3" ht="12.75">
      <c r="A106" s="1" t="s">
        <v>804</v>
      </c>
      <c r="B106" t="s">
        <v>913</v>
      </c>
      <c r="C106" t="s">
        <v>903</v>
      </c>
    </row>
    <row r="107" spans="1:3" ht="12.75">
      <c r="A107" s="1" t="s">
        <v>805</v>
      </c>
      <c r="B107" t="s">
        <v>913</v>
      </c>
      <c r="C107" t="s">
        <v>922</v>
      </c>
    </row>
    <row r="108" spans="1:3" ht="12.75">
      <c r="A108" s="1">
        <v>88</v>
      </c>
      <c r="B108" t="s">
        <v>913</v>
      </c>
      <c r="C108" t="s">
        <v>923</v>
      </c>
    </row>
    <row r="109" spans="1:4" ht="12.75">
      <c r="A109" s="1" t="s">
        <v>806</v>
      </c>
      <c r="B109" t="s">
        <v>913</v>
      </c>
      <c r="C109" t="s">
        <v>924</v>
      </c>
      <c r="D109" t="s">
        <v>925</v>
      </c>
    </row>
    <row r="110" spans="1:3" ht="12.75">
      <c r="A110" s="1" t="s">
        <v>807</v>
      </c>
      <c r="B110" t="s">
        <v>913</v>
      </c>
      <c r="C110" t="s">
        <v>920</v>
      </c>
    </row>
    <row r="111" spans="1:3" ht="12.75">
      <c r="A111" s="1" t="s">
        <v>808</v>
      </c>
      <c r="B111" t="s">
        <v>913</v>
      </c>
      <c r="C111" t="s">
        <v>921</v>
      </c>
    </row>
    <row r="112" spans="1:3" ht="12.75">
      <c r="A112" s="1" t="s">
        <v>809</v>
      </c>
      <c r="B112" t="s">
        <v>913</v>
      </c>
      <c r="C112" t="s">
        <v>902</v>
      </c>
    </row>
    <row r="113" spans="1:3" ht="12.75">
      <c r="A113" s="1" t="s">
        <v>810</v>
      </c>
      <c r="B113" t="s">
        <v>913</v>
      </c>
      <c r="C113" t="s">
        <v>903</v>
      </c>
    </row>
    <row r="114" spans="1:3" ht="12.75">
      <c r="A114" s="1" t="s">
        <v>811</v>
      </c>
      <c r="B114" t="s">
        <v>913</v>
      </c>
      <c r="C114" t="s">
        <v>922</v>
      </c>
    </row>
    <row r="115" spans="1:3" ht="12.75">
      <c r="A115" s="1" t="s">
        <v>812</v>
      </c>
      <c r="B115" t="s">
        <v>926</v>
      </c>
      <c r="C115" t="s">
        <v>927</v>
      </c>
    </row>
    <row r="116" spans="1:3" ht="12.75">
      <c r="A116" s="1" t="s">
        <v>813</v>
      </c>
      <c r="B116" t="s">
        <v>926</v>
      </c>
      <c r="C116" t="s">
        <v>928</v>
      </c>
    </row>
    <row r="117" spans="1:3" ht="12.75">
      <c r="A117" s="1" t="s">
        <v>814</v>
      </c>
      <c r="B117" t="s">
        <v>926</v>
      </c>
      <c r="C117" t="s">
        <v>929</v>
      </c>
    </row>
    <row r="118" spans="1:3" ht="12.75">
      <c r="A118" s="1" t="s">
        <v>815</v>
      </c>
      <c r="B118" t="s">
        <v>926</v>
      </c>
      <c r="C118" t="s">
        <v>930</v>
      </c>
    </row>
    <row r="119" spans="1:3" ht="12.75">
      <c r="A119" s="1" t="s">
        <v>816</v>
      </c>
      <c r="B119" t="s">
        <v>926</v>
      </c>
      <c r="C119" t="s">
        <v>931</v>
      </c>
    </row>
    <row r="120" spans="1:3" ht="12.75">
      <c r="A120" s="1" t="s">
        <v>817</v>
      </c>
      <c r="B120" t="s">
        <v>926</v>
      </c>
      <c r="C120" t="s">
        <v>932</v>
      </c>
    </row>
  </sheetData>
  <mergeCells count="6">
    <mergeCell ref="A1:H1"/>
    <mergeCell ref="A6:G6"/>
    <mergeCell ref="B7:C7"/>
    <mergeCell ref="B8:C8"/>
    <mergeCell ref="D8:F8"/>
    <mergeCell ref="D7:F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9"/>
  <dimension ref="A2:J35"/>
  <sheetViews>
    <sheetView zoomScale="75" zoomScaleNormal="75" workbookViewId="0" topLeftCell="A1">
      <selection activeCell="A23" sqref="A23:B23"/>
    </sheetView>
  </sheetViews>
  <sheetFormatPr defaultColWidth="9.140625" defaultRowHeight="12.75"/>
  <cols>
    <col min="1" max="8" width="9.140625" style="27" customWidth="1"/>
    <col min="9" max="9" width="10.140625" style="27" customWidth="1"/>
    <col min="10" max="10" width="9.7109375" style="27" customWidth="1"/>
    <col min="11" max="16384" width="9.140625" style="27" customWidth="1"/>
  </cols>
  <sheetData>
    <row r="2" spans="1:7" ht="12.75" hidden="1">
      <c r="A2" s="27" t="s">
        <v>124</v>
      </c>
      <c r="C2" s="27" t="s">
        <v>125</v>
      </c>
      <c r="E2" s="27" t="s">
        <v>126</v>
      </c>
      <c r="G2" s="27" t="s">
        <v>127</v>
      </c>
    </row>
    <row r="3" spans="1:7" ht="12.75" hidden="1">
      <c r="A3" s="28">
        <v>0.5</v>
      </c>
      <c r="C3" s="27">
        <v>20</v>
      </c>
      <c r="E3" s="27">
        <v>10</v>
      </c>
      <c r="G3" s="27">
        <f>E3/1000</f>
        <v>0.01</v>
      </c>
    </row>
    <row r="4" spans="1:7" ht="12.75" hidden="1">
      <c r="A4" s="28">
        <v>0.8</v>
      </c>
      <c r="C4" s="27">
        <v>18</v>
      </c>
      <c r="E4" s="27">
        <v>6.9</v>
      </c>
      <c r="G4" s="27">
        <f aca="true" t="shared" si="0" ref="G4:G15">E4/1000</f>
        <v>0.0069</v>
      </c>
    </row>
    <row r="5" spans="1:7" ht="12.75" hidden="1">
      <c r="A5" s="28">
        <v>1</v>
      </c>
      <c r="C5" s="27">
        <v>16</v>
      </c>
      <c r="E5" s="27">
        <v>4.7</v>
      </c>
      <c r="G5" s="27">
        <f t="shared" si="0"/>
        <v>0.0047</v>
      </c>
    </row>
    <row r="6" spans="1:7" ht="12.75" hidden="1">
      <c r="A6" s="28">
        <v>2</v>
      </c>
      <c r="C6" s="27">
        <v>14</v>
      </c>
      <c r="E6" s="27">
        <v>2.8</v>
      </c>
      <c r="G6" s="27">
        <f t="shared" si="0"/>
        <v>0.0028</v>
      </c>
    </row>
    <row r="7" spans="1:7" ht="12.75" hidden="1">
      <c r="A7" s="28">
        <v>3</v>
      </c>
      <c r="C7" s="27">
        <v>12</v>
      </c>
      <c r="E7" s="27">
        <v>1.8</v>
      </c>
      <c r="G7" s="27">
        <f t="shared" si="0"/>
        <v>0.0018</v>
      </c>
    </row>
    <row r="8" spans="1:7" ht="12.75" hidden="1">
      <c r="A8" s="28">
        <v>5</v>
      </c>
      <c r="C8" s="27">
        <v>10</v>
      </c>
      <c r="E8" s="27">
        <v>1.1</v>
      </c>
      <c r="G8" s="27">
        <f t="shared" si="0"/>
        <v>0.0011</v>
      </c>
    </row>
    <row r="9" spans="1:7" ht="12.75" hidden="1">
      <c r="A9" s="28">
        <v>8</v>
      </c>
      <c r="C9" s="27">
        <v>8</v>
      </c>
      <c r="E9" s="27">
        <v>0.7</v>
      </c>
      <c r="G9" s="27">
        <f t="shared" si="0"/>
        <v>0.0007</v>
      </c>
    </row>
    <row r="10" spans="1:7" ht="12.75" hidden="1">
      <c r="A10" s="28">
        <v>13</v>
      </c>
      <c r="C10" s="27">
        <v>6</v>
      </c>
      <c r="E10" s="27">
        <v>0.4</v>
      </c>
      <c r="G10" s="27">
        <f t="shared" si="0"/>
        <v>0.0004</v>
      </c>
    </row>
    <row r="11" spans="1:7" ht="12.75" hidden="1">
      <c r="A11" s="28">
        <v>19</v>
      </c>
      <c r="C11" s="27">
        <v>4</v>
      </c>
      <c r="E11" s="27">
        <v>0.3</v>
      </c>
      <c r="G11" s="27">
        <f t="shared" si="0"/>
        <v>0.0003</v>
      </c>
    </row>
    <row r="12" spans="1:7" ht="12.75" hidden="1">
      <c r="A12" s="28">
        <v>32</v>
      </c>
      <c r="C12" s="27">
        <v>2</v>
      </c>
      <c r="E12" s="27">
        <v>0.2</v>
      </c>
      <c r="G12" s="27">
        <f t="shared" si="0"/>
        <v>0.0002</v>
      </c>
    </row>
    <row r="13" spans="1:7" ht="12.75" hidden="1">
      <c r="A13" s="28">
        <v>40</v>
      </c>
      <c r="C13" s="27">
        <v>1</v>
      </c>
      <c r="E13" s="27">
        <v>0.14</v>
      </c>
      <c r="G13" s="27">
        <f t="shared" si="0"/>
        <v>0.00014</v>
      </c>
    </row>
    <row r="14" spans="1:7" ht="12.75" hidden="1">
      <c r="A14" s="28">
        <v>50</v>
      </c>
      <c r="C14" s="27">
        <v>0</v>
      </c>
      <c r="E14" s="27">
        <v>0.11</v>
      </c>
      <c r="G14" s="27">
        <f t="shared" si="0"/>
        <v>0.00011</v>
      </c>
    </row>
    <row r="15" spans="1:7" ht="12.75" hidden="1">
      <c r="A15" s="28">
        <v>62</v>
      </c>
      <c r="C15" s="29" t="s">
        <v>128</v>
      </c>
      <c r="E15" s="27">
        <v>0.09</v>
      </c>
      <c r="G15" s="27">
        <f t="shared" si="0"/>
        <v>9E-05</v>
      </c>
    </row>
    <row r="16" spans="1:3" ht="12.75">
      <c r="A16" s="28"/>
      <c r="C16" s="29"/>
    </row>
    <row r="17" spans="1:3" ht="12.75">
      <c r="A17" s="196" t="s">
        <v>227</v>
      </c>
      <c r="C17" s="29"/>
    </row>
    <row r="19" spans="1:6" ht="12.75">
      <c r="A19" s="365" t="s">
        <v>129</v>
      </c>
      <c r="B19" s="365"/>
      <c r="C19" s="365" t="s">
        <v>130</v>
      </c>
      <c r="D19" s="365"/>
      <c r="E19" s="365" t="s">
        <v>131</v>
      </c>
      <c r="F19" s="365"/>
    </row>
    <row r="20" spans="1:6" ht="12.75">
      <c r="A20" s="366">
        <v>500</v>
      </c>
      <c r="B20" s="367"/>
      <c r="C20" s="366">
        <v>13.5</v>
      </c>
      <c r="D20" s="367"/>
      <c r="E20" s="366">
        <v>18</v>
      </c>
      <c r="F20" s="367"/>
    </row>
    <row r="22" spans="1:9" ht="13.5" thickBot="1">
      <c r="A22" s="368" t="s">
        <v>132</v>
      </c>
      <c r="B22" s="368"/>
      <c r="C22" s="203" t="s">
        <v>133</v>
      </c>
      <c r="D22" s="203" t="s">
        <v>134</v>
      </c>
      <c r="E22" s="369" t="s">
        <v>226</v>
      </c>
      <c r="F22" s="369"/>
      <c r="G22" s="369"/>
      <c r="H22" s="204" t="s">
        <v>135</v>
      </c>
      <c r="I22" s="204"/>
    </row>
    <row r="23" spans="1:10" ht="13.5" thickBot="1">
      <c r="A23" s="368">
        <f>A20/C20</f>
        <v>37.037037037037</v>
      </c>
      <c r="B23" s="368"/>
      <c r="C23" s="203">
        <v>20</v>
      </c>
      <c r="D23" s="203">
        <v>0.01</v>
      </c>
      <c r="E23" s="369">
        <f>PRODUCT(E20,D23)</f>
        <v>0.18</v>
      </c>
      <c r="F23" s="369"/>
      <c r="G23" s="369"/>
      <c r="H23" s="370">
        <f>PRODUCT(A23,E23)</f>
        <v>6.67</v>
      </c>
      <c r="I23" s="371"/>
      <c r="J23" s="205" t="str">
        <f aca="true" t="shared" si="1" ref="J23:J35">IF(H23&lt;0.5,"correct","No good")</f>
        <v>No good</v>
      </c>
    </row>
    <row r="24" spans="3:10" ht="13.5" thickBot="1">
      <c r="C24" s="203">
        <v>18</v>
      </c>
      <c r="D24" s="203">
        <v>0.0069</v>
      </c>
      <c r="E24" s="369">
        <f>PRODUCT(E20,D24)</f>
        <v>0.1242</v>
      </c>
      <c r="F24" s="369"/>
      <c r="G24" s="369"/>
      <c r="H24" s="370">
        <f>PRODUCT(A23,E24)</f>
        <v>4.6</v>
      </c>
      <c r="I24" s="371"/>
      <c r="J24" s="205" t="str">
        <f t="shared" si="1"/>
        <v>No good</v>
      </c>
    </row>
    <row r="25" spans="3:10" ht="13.5" thickBot="1">
      <c r="C25" s="203">
        <v>16</v>
      </c>
      <c r="D25" s="203">
        <v>0.0047</v>
      </c>
      <c r="E25" s="369">
        <f>PRODUCT(E20,D25)</f>
        <v>0.0846</v>
      </c>
      <c r="F25" s="369"/>
      <c r="G25" s="369"/>
      <c r="H25" s="370">
        <f>PRODUCT(A23,E25)</f>
        <v>3.13</v>
      </c>
      <c r="I25" s="371"/>
      <c r="J25" s="205" t="str">
        <f t="shared" si="1"/>
        <v>No good</v>
      </c>
    </row>
    <row r="26" spans="3:10" ht="13.5" thickBot="1">
      <c r="C26" s="203">
        <v>14</v>
      </c>
      <c r="D26" s="203">
        <v>0.0028</v>
      </c>
      <c r="E26" s="369">
        <f>PRODUCT(E20,D26)</f>
        <v>0.0504</v>
      </c>
      <c r="F26" s="369"/>
      <c r="G26" s="369"/>
      <c r="H26" s="370">
        <f>PRODUCT(A23,E26)</f>
        <v>1.87</v>
      </c>
      <c r="I26" s="371"/>
      <c r="J26" s="205" t="str">
        <f t="shared" si="1"/>
        <v>No good</v>
      </c>
    </row>
    <row r="27" spans="3:10" ht="13.5" thickBot="1">
      <c r="C27" s="203">
        <v>12</v>
      </c>
      <c r="D27" s="203">
        <v>0.0018</v>
      </c>
      <c r="E27" s="369">
        <f>PRODUCT(E20,D27)</f>
        <v>0.0324</v>
      </c>
      <c r="F27" s="369"/>
      <c r="G27" s="369"/>
      <c r="H27" s="370">
        <f>PRODUCT(A23,E27)</f>
        <v>1.2</v>
      </c>
      <c r="I27" s="371"/>
      <c r="J27" s="205" t="str">
        <f t="shared" si="1"/>
        <v>No good</v>
      </c>
    </row>
    <row r="28" spans="3:10" ht="13.5" thickBot="1">
      <c r="C28" s="203">
        <v>10</v>
      </c>
      <c r="D28" s="203">
        <v>0.0011</v>
      </c>
      <c r="E28" s="369">
        <f>PRODUCT(E20,D28)</f>
        <v>0.0198</v>
      </c>
      <c r="F28" s="369"/>
      <c r="G28" s="369"/>
      <c r="H28" s="370">
        <f>PRODUCT(A23,E28)</f>
        <v>0.73</v>
      </c>
      <c r="I28" s="371"/>
      <c r="J28" s="205" t="str">
        <f t="shared" si="1"/>
        <v>No good</v>
      </c>
    </row>
    <row r="29" spans="3:10" ht="13.5" thickBot="1">
      <c r="C29" s="203">
        <v>8</v>
      </c>
      <c r="D29" s="203">
        <v>0.0007</v>
      </c>
      <c r="E29" s="369">
        <f>PRODUCT(E20,D29)</f>
        <v>0.0126</v>
      </c>
      <c r="F29" s="369"/>
      <c r="G29" s="369"/>
      <c r="H29" s="370">
        <f>PRODUCT(A23,E29)</f>
        <v>0.47</v>
      </c>
      <c r="I29" s="371"/>
      <c r="J29" s="205" t="str">
        <f t="shared" si="1"/>
        <v>correct</v>
      </c>
    </row>
    <row r="30" spans="3:10" ht="13.5" thickBot="1">
      <c r="C30" s="203">
        <v>6</v>
      </c>
      <c r="D30" s="203">
        <v>0.0004</v>
      </c>
      <c r="E30" s="369">
        <f>PRODUCT(E20,D30)</f>
        <v>0.0072</v>
      </c>
      <c r="F30" s="369"/>
      <c r="G30" s="369"/>
      <c r="H30" s="370">
        <f>PRODUCT(A23,E30)</f>
        <v>0.27</v>
      </c>
      <c r="I30" s="371"/>
      <c r="J30" s="205" t="str">
        <f t="shared" si="1"/>
        <v>correct</v>
      </c>
    </row>
    <row r="31" spans="3:10" ht="13.5" thickBot="1">
      <c r="C31" s="203">
        <v>4</v>
      </c>
      <c r="D31" s="203">
        <v>0.0003</v>
      </c>
      <c r="E31" s="369">
        <f>PRODUCT(E20,D31)</f>
        <v>0.0054</v>
      </c>
      <c r="F31" s="369"/>
      <c r="G31" s="369"/>
      <c r="H31" s="370">
        <f>PRODUCT(A23,E31)</f>
        <v>0.2</v>
      </c>
      <c r="I31" s="371"/>
      <c r="J31" s="205" t="str">
        <f t="shared" si="1"/>
        <v>correct</v>
      </c>
    </row>
    <row r="32" spans="3:10" ht="13.5" thickBot="1">
      <c r="C32" s="203">
        <v>2</v>
      </c>
      <c r="D32" s="203">
        <v>0.0002</v>
      </c>
      <c r="E32" s="369">
        <f>PRODUCT(E20,D32)</f>
        <v>0.0036</v>
      </c>
      <c r="F32" s="369"/>
      <c r="G32" s="369"/>
      <c r="H32" s="370">
        <f>PRODUCT(A23,E32)</f>
        <v>0.13</v>
      </c>
      <c r="I32" s="371"/>
      <c r="J32" s="205" t="str">
        <f t="shared" si="1"/>
        <v>correct</v>
      </c>
    </row>
    <row r="33" spans="3:10" ht="13.5" thickBot="1">
      <c r="C33" s="203">
        <v>1</v>
      </c>
      <c r="D33" s="203">
        <v>0.00014</v>
      </c>
      <c r="E33" s="369">
        <f>PRODUCT(E20,D33)</f>
        <v>0.00252</v>
      </c>
      <c r="F33" s="369"/>
      <c r="G33" s="369"/>
      <c r="H33" s="370">
        <f>PRODUCT(A23,E33)</f>
        <v>0.09</v>
      </c>
      <c r="I33" s="371"/>
      <c r="J33" s="205" t="str">
        <f t="shared" si="1"/>
        <v>correct</v>
      </c>
    </row>
    <row r="34" spans="3:10" ht="13.5" thickBot="1">
      <c r="C34" s="203">
        <v>0</v>
      </c>
      <c r="D34" s="203">
        <v>0.00011</v>
      </c>
      <c r="E34" s="369">
        <f>PRODUCT(E20,D34)</f>
        <v>0.00198</v>
      </c>
      <c r="F34" s="369"/>
      <c r="G34" s="369"/>
      <c r="H34" s="370">
        <f>PRODUCT(A23,E34)</f>
        <v>0.07</v>
      </c>
      <c r="I34" s="371"/>
      <c r="J34" s="205" t="str">
        <f t="shared" si="1"/>
        <v>correct</v>
      </c>
    </row>
    <row r="35" spans="3:10" ht="13.5" thickBot="1">
      <c r="C35" s="206" t="s">
        <v>128</v>
      </c>
      <c r="D35" s="203">
        <v>9E-05</v>
      </c>
      <c r="E35" s="369">
        <f>PRODUCT(E20,D35)</f>
        <v>0.00162</v>
      </c>
      <c r="F35" s="369"/>
      <c r="G35" s="369"/>
      <c r="H35" s="370">
        <f>PRODUCT(A23,E35)</f>
        <v>0.06</v>
      </c>
      <c r="I35" s="371"/>
      <c r="J35" s="205" t="str">
        <f t="shared" si="1"/>
        <v>correct</v>
      </c>
    </row>
  </sheetData>
  <mergeCells count="35">
    <mergeCell ref="H35:I35"/>
    <mergeCell ref="H31:I31"/>
    <mergeCell ref="H32:I32"/>
    <mergeCell ref="H33:I33"/>
    <mergeCell ref="H34:I34"/>
    <mergeCell ref="H27:I27"/>
    <mergeCell ref="H28:I28"/>
    <mergeCell ref="H29:I29"/>
    <mergeCell ref="H30:I30"/>
    <mergeCell ref="H23:I23"/>
    <mergeCell ref="H24:I24"/>
    <mergeCell ref="H25:I25"/>
    <mergeCell ref="H26:I26"/>
    <mergeCell ref="E32:G32"/>
    <mergeCell ref="E33:G33"/>
    <mergeCell ref="E34:G34"/>
    <mergeCell ref="E35:G35"/>
    <mergeCell ref="E28:G28"/>
    <mergeCell ref="E29:G29"/>
    <mergeCell ref="E30:G30"/>
    <mergeCell ref="E31:G31"/>
    <mergeCell ref="E24:G24"/>
    <mergeCell ref="E25:G25"/>
    <mergeCell ref="E26:G26"/>
    <mergeCell ref="E27:G27"/>
    <mergeCell ref="A22:B22"/>
    <mergeCell ref="A23:B23"/>
    <mergeCell ref="E22:G22"/>
    <mergeCell ref="E23:G23"/>
    <mergeCell ref="A19:B19"/>
    <mergeCell ref="C19:D19"/>
    <mergeCell ref="E19:F19"/>
    <mergeCell ref="A20:B20"/>
    <mergeCell ref="C20:D20"/>
    <mergeCell ref="E20:F20"/>
  </mergeCells>
  <printOptions/>
  <pageMargins left="0.75" right="0.75" top="1" bottom="1" header="0.5" footer="0.5"/>
  <pageSetup orientation="portrait" paperSize="9"/>
  <ignoredErrors>
    <ignoredError sqref="C35" numberStoredAsText="1"/>
  </ignoredErrors>
</worksheet>
</file>

<file path=xl/worksheets/sheet16.xml><?xml version="1.0" encoding="utf-8"?>
<worksheet xmlns="http://schemas.openxmlformats.org/spreadsheetml/2006/main" xmlns:r="http://schemas.openxmlformats.org/officeDocument/2006/relationships">
  <sheetPr codeName="Sheet10"/>
  <dimension ref="A2:J15"/>
  <sheetViews>
    <sheetView zoomScale="75" zoomScaleNormal="75" workbookViewId="0" topLeftCell="A1">
      <selection activeCell="A1" sqref="A1"/>
    </sheetView>
  </sheetViews>
  <sheetFormatPr defaultColWidth="9.140625" defaultRowHeight="12.75"/>
  <sheetData>
    <row r="2" ht="12.75">
      <c r="A2" s="5" t="s">
        <v>136</v>
      </c>
    </row>
    <row r="4" spans="1:8" ht="13.5" thickBot="1">
      <c r="A4" s="313" t="s">
        <v>137</v>
      </c>
      <c r="B4" s="313"/>
      <c r="C4" s="313"/>
      <c r="D4" s="313"/>
      <c r="E4" s="313"/>
      <c r="F4" s="313"/>
      <c r="G4" s="361" t="s">
        <v>138</v>
      </c>
      <c r="H4" s="361"/>
    </row>
    <row r="5" spans="1:8" ht="13.5" thickBot="1">
      <c r="A5" s="253">
        <v>72</v>
      </c>
      <c r="B5" s="290"/>
      <c r="C5" s="290"/>
      <c r="D5" s="290"/>
      <c r="E5" s="290"/>
      <c r="F5" s="254"/>
      <c r="G5" s="372">
        <f>3600/A5</f>
        <v>50</v>
      </c>
      <c r="H5" s="308"/>
    </row>
    <row r="7" ht="12.75">
      <c r="A7" s="5" t="s">
        <v>139</v>
      </c>
    </row>
    <row r="9" spans="1:8" ht="13.5" thickBot="1">
      <c r="A9" s="313" t="s">
        <v>140</v>
      </c>
      <c r="B9" s="313"/>
      <c r="C9" s="313" t="s">
        <v>141</v>
      </c>
      <c r="D9" s="313"/>
      <c r="E9" s="352" t="s">
        <v>142</v>
      </c>
      <c r="F9" s="352"/>
      <c r="G9" s="361" t="s">
        <v>143</v>
      </c>
      <c r="H9" s="361"/>
    </row>
    <row r="10" spans="1:8" ht="13.5" thickBot="1">
      <c r="A10" s="253">
        <v>65</v>
      </c>
      <c r="B10" s="254"/>
      <c r="C10" s="253">
        <v>73</v>
      </c>
      <c r="D10" s="254"/>
      <c r="E10" s="315">
        <f>A10-C10</f>
        <v>-8</v>
      </c>
      <c r="F10" s="316"/>
      <c r="G10" s="372">
        <f>E10/A10*(100)</f>
        <v>-12.31</v>
      </c>
      <c r="H10" s="308"/>
    </row>
    <row r="12" ht="12.75">
      <c r="A12" s="5" t="s">
        <v>144</v>
      </c>
    </row>
    <row r="14" spans="1:10" ht="13.5" thickBot="1">
      <c r="A14" s="313" t="s">
        <v>145</v>
      </c>
      <c r="B14" s="313"/>
      <c r="C14" s="313" t="s">
        <v>146</v>
      </c>
      <c r="D14" s="313"/>
      <c r="E14" s="352" t="s">
        <v>147</v>
      </c>
      <c r="F14" s="352"/>
      <c r="G14" s="361" t="s">
        <v>148</v>
      </c>
      <c r="H14" s="361"/>
      <c r="I14" s="361"/>
      <c r="J14" s="361"/>
    </row>
    <row r="15" spans="1:10" ht="13.5" thickBot="1">
      <c r="A15" s="253">
        <v>0</v>
      </c>
      <c r="B15" s="254"/>
      <c r="C15" s="253">
        <v>5.25</v>
      </c>
      <c r="D15" s="254"/>
      <c r="E15" s="315">
        <f>C15-A15</f>
        <v>5.25</v>
      </c>
      <c r="F15" s="316"/>
      <c r="G15" s="296">
        <f>((5-E15)/5)*100</f>
        <v>-5</v>
      </c>
      <c r="H15" s="296"/>
      <c r="I15" s="296"/>
      <c r="J15" s="297"/>
    </row>
  </sheetData>
  <mergeCells count="20">
    <mergeCell ref="G15:J15"/>
    <mergeCell ref="E15:F15"/>
    <mergeCell ref="C15:D15"/>
    <mergeCell ref="A15:B15"/>
    <mergeCell ref="A14:B14"/>
    <mergeCell ref="C14:D14"/>
    <mergeCell ref="E14:F14"/>
    <mergeCell ref="G14:J14"/>
    <mergeCell ref="G10:H10"/>
    <mergeCell ref="E10:F10"/>
    <mergeCell ref="C10:D10"/>
    <mergeCell ref="A10:B10"/>
    <mergeCell ref="A9:B9"/>
    <mergeCell ref="C9:D9"/>
    <mergeCell ref="E9:F9"/>
    <mergeCell ref="G9:H9"/>
    <mergeCell ref="A4:F4"/>
    <mergeCell ref="A5:F5"/>
    <mergeCell ref="G4:H4"/>
    <mergeCell ref="G5:H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1"/>
  <dimension ref="A2:F52"/>
  <sheetViews>
    <sheetView zoomScale="75" zoomScaleNormal="75" workbookViewId="0" topLeftCell="A1">
      <selection activeCell="A1" sqref="A1"/>
    </sheetView>
  </sheetViews>
  <sheetFormatPr defaultColWidth="9.140625" defaultRowHeight="12.75"/>
  <sheetData>
    <row r="2" ht="12.75">
      <c r="A2" s="5" t="s">
        <v>149</v>
      </c>
    </row>
    <row r="4" spans="1:6" ht="13.5" thickBot="1">
      <c r="A4" s="313" t="s">
        <v>150</v>
      </c>
      <c r="B4" s="313"/>
      <c r="C4" s="313" t="s">
        <v>151</v>
      </c>
      <c r="D4" s="313"/>
      <c r="E4" s="361" t="s">
        <v>152</v>
      </c>
      <c r="F4" s="361"/>
    </row>
    <row r="5" spans="1:6" ht="13.5" thickBot="1">
      <c r="A5" s="253">
        <v>208</v>
      </c>
      <c r="B5" s="254"/>
      <c r="C5" s="253">
        <v>10.4</v>
      </c>
      <c r="D5" s="254"/>
      <c r="E5" s="296">
        <f>A5/C5</f>
        <v>20</v>
      </c>
      <c r="F5" s="297"/>
    </row>
    <row r="7" ht="12.75">
      <c r="A7" s="5" t="s">
        <v>153</v>
      </c>
    </row>
    <row r="8" spans="1:6" ht="13.5" thickBot="1">
      <c r="A8" s="313" t="s">
        <v>154</v>
      </c>
      <c r="B8" s="313"/>
      <c r="C8" s="313" t="s">
        <v>155</v>
      </c>
      <c r="D8" s="313"/>
      <c r="E8" s="361" t="s">
        <v>156</v>
      </c>
      <c r="F8" s="361"/>
    </row>
    <row r="9" spans="1:6" ht="13.5" thickBot="1">
      <c r="A9" s="253">
        <v>200</v>
      </c>
      <c r="B9" s="254"/>
      <c r="C9" s="253">
        <v>10.4</v>
      </c>
      <c r="D9" s="254"/>
      <c r="E9" s="296">
        <f>A9/C9</f>
        <v>19.2307692307692</v>
      </c>
      <c r="F9" s="297"/>
    </row>
    <row r="11" ht="12.75">
      <c r="A11" s="5" t="s">
        <v>157</v>
      </c>
    </row>
    <row r="13" spans="1:5" ht="13.5" thickBot="1">
      <c r="A13" s="313" t="s">
        <v>158</v>
      </c>
      <c r="B13" s="313"/>
      <c r="C13" s="3" t="s">
        <v>159</v>
      </c>
      <c r="D13" s="361" t="s">
        <v>160</v>
      </c>
      <c r="E13" s="361"/>
    </row>
    <row r="14" spans="1:5" ht="13.5" thickBot="1">
      <c r="A14" s="253">
        <v>18</v>
      </c>
      <c r="B14" s="254"/>
      <c r="C14" s="95">
        <v>20</v>
      </c>
      <c r="D14" s="296">
        <f>C14*A14</f>
        <v>360</v>
      </c>
      <c r="E14" s="297"/>
    </row>
    <row r="16" ht="12.75">
      <c r="A16" s="5" t="s">
        <v>161</v>
      </c>
    </row>
    <row r="18" spans="1:6" ht="13.5" thickBot="1">
      <c r="A18" s="313" t="s">
        <v>162</v>
      </c>
      <c r="B18" s="313"/>
      <c r="C18" s="313" t="s">
        <v>159</v>
      </c>
      <c r="D18" s="313"/>
      <c r="E18" s="246" t="s">
        <v>163</v>
      </c>
      <c r="F18" s="246"/>
    </row>
    <row r="19" spans="1:6" ht="13.5" thickBot="1">
      <c r="A19" s="253">
        <v>239</v>
      </c>
      <c r="B19" s="254"/>
      <c r="C19" s="253">
        <v>20</v>
      </c>
      <c r="D19" s="254"/>
      <c r="E19" s="296">
        <f>A19/C19</f>
        <v>11.95</v>
      </c>
      <c r="F19" s="297"/>
    </row>
    <row r="21" ht="12.75">
      <c r="A21" s="5" t="s">
        <v>164</v>
      </c>
    </row>
    <row r="23" spans="1:6" ht="13.5" thickBot="1">
      <c r="A23" s="313" t="s">
        <v>165</v>
      </c>
      <c r="B23" s="313"/>
      <c r="C23" s="313" t="s">
        <v>166</v>
      </c>
      <c r="D23" s="313"/>
      <c r="E23" s="246" t="s">
        <v>167</v>
      </c>
      <c r="F23" s="246"/>
    </row>
    <row r="24" spans="1:6" ht="13.5" thickBot="1">
      <c r="A24" s="253">
        <v>208</v>
      </c>
      <c r="B24" s="254"/>
      <c r="C24" s="253">
        <v>4.25</v>
      </c>
      <c r="D24" s="254"/>
      <c r="E24" s="372">
        <f>A24/C24</f>
        <v>48.94</v>
      </c>
      <c r="F24" s="308"/>
    </row>
    <row r="26" ht="12.75">
      <c r="A26" s="5" t="s">
        <v>554</v>
      </c>
    </row>
    <row r="28" spans="1:6" ht="13.5" thickBot="1">
      <c r="A28" s="313" t="s">
        <v>64</v>
      </c>
      <c r="B28" s="313"/>
      <c r="C28" s="313" t="s">
        <v>168</v>
      </c>
      <c r="D28" s="313"/>
      <c r="E28" s="246" t="s">
        <v>165</v>
      </c>
      <c r="F28" s="246"/>
    </row>
    <row r="29" spans="1:6" ht="13.5" thickBot="1">
      <c r="A29" s="253">
        <v>45</v>
      </c>
      <c r="B29" s="254"/>
      <c r="C29" s="253">
        <v>2.5</v>
      </c>
      <c r="D29" s="254"/>
      <c r="E29" s="296">
        <f>A29*C29</f>
        <v>112.5</v>
      </c>
      <c r="F29" s="297"/>
    </row>
    <row r="31" spans="1:6" ht="13.5" thickBot="1">
      <c r="A31" s="313" t="s">
        <v>64</v>
      </c>
      <c r="B31" s="313"/>
      <c r="C31" s="313" t="s">
        <v>165</v>
      </c>
      <c r="D31" s="313"/>
      <c r="E31" s="246" t="s">
        <v>169</v>
      </c>
      <c r="F31" s="246"/>
    </row>
    <row r="32" spans="1:6" ht="13.5" thickBot="1">
      <c r="A32" s="253">
        <v>45</v>
      </c>
      <c r="B32" s="254"/>
      <c r="C32" s="253">
        <v>106</v>
      </c>
      <c r="D32" s="254"/>
      <c r="E32" s="372">
        <f>C32/A32</f>
        <v>2.36</v>
      </c>
      <c r="F32" s="308"/>
    </row>
    <row r="34" ht="12.75">
      <c r="A34" s="5" t="s">
        <v>170</v>
      </c>
    </row>
    <row r="36" spans="1:3" ht="13.5" thickBot="1">
      <c r="A36" s="313" t="s">
        <v>171</v>
      </c>
      <c r="B36" s="313"/>
      <c r="C36" s="22" t="s">
        <v>172</v>
      </c>
    </row>
    <row r="37" spans="1:3" ht="13.5" thickBot="1">
      <c r="A37" s="253">
        <v>36</v>
      </c>
      <c r="B37" s="254"/>
      <c r="C37" s="102">
        <f>A37*60/100</f>
        <v>21.6</v>
      </c>
    </row>
    <row r="39" ht="12.75">
      <c r="A39" s="5" t="s">
        <v>173</v>
      </c>
    </row>
    <row r="41" spans="1:3" ht="13.5" thickBot="1">
      <c r="A41" s="313" t="s">
        <v>174</v>
      </c>
      <c r="B41" s="313"/>
      <c r="C41" s="22" t="s">
        <v>175</v>
      </c>
    </row>
    <row r="42" spans="1:3" ht="13.5" thickBot="1">
      <c r="A42" s="253">
        <v>0.6</v>
      </c>
      <c r="B42" s="254"/>
      <c r="C42" s="102">
        <f>A42*60</f>
        <v>36</v>
      </c>
    </row>
    <row r="44" ht="12.75">
      <c r="A44" s="5" t="s">
        <v>176</v>
      </c>
    </row>
    <row r="46" spans="1:6" ht="13.5" thickBot="1">
      <c r="A46" s="313" t="s">
        <v>177</v>
      </c>
      <c r="B46" s="313"/>
      <c r="C46" s="313" t="s">
        <v>178</v>
      </c>
      <c r="D46" s="313"/>
      <c r="E46" s="246" t="s">
        <v>179</v>
      </c>
      <c r="F46" s="246"/>
    </row>
    <row r="47" spans="1:6" ht="13.5" thickBot="1">
      <c r="A47" s="253">
        <v>2.5</v>
      </c>
      <c r="B47" s="254"/>
      <c r="C47" s="253">
        <v>40</v>
      </c>
      <c r="D47" s="254"/>
      <c r="E47" s="296">
        <f>A47*3600/C47</f>
        <v>225</v>
      </c>
      <c r="F47" s="297"/>
    </row>
    <row r="49" ht="12.75">
      <c r="A49" s="5" t="s">
        <v>180</v>
      </c>
    </row>
    <row r="51" spans="1:6" ht="13.5" thickBot="1">
      <c r="A51" s="313" t="s">
        <v>177</v>
      </c>
      <c r="B51" s="313"/>
      <c r="C51" s="313" t="s">
        <v>181</v>
      </c>
      <c r="D51" s="313"/>
      <c r="E51" s="246" t="s">
        <v>182</v>
      </c>
      <c r="F51" s="246"/>
    </row>
    <row r="52" spans="1:6" ht="13.5" thickBot="1">
      <c r="A52" s="253">
        <v>2.5</v>
      </c>
      <c r="B52" s="254"/>
      <c r="C52" s="253">
        <v>230</v>
      </c>
      <c r="D52" s="254"/>
      <c r="E52" s="373">
        <f>A52*3600/C52</f>
        <v>39.1304</v>
      </c>
      <c r="F52" s="374"/>
    </row>
  </sheetData>
  <mergeCells count="56">
    <mergeCell ref="A13:B13"/>
    <mergeCell ref="A14:B14"/>
    <mergeCell ref="A8:B8"/>
    <mergeCell ref="C8:D8"/>
    <mergeCell ref="C9:D9"/>
    <mergeCell ref="A9:B9"/>
    <mergeCell ref="E32:F32"/>
    <mergeCell ref="C32:D32"/>
    <mergeCell ref="E31:F31"/>
    <mergeCell ref="C31:D31"/>
    <mergeCell ref="E8:F8"/>
    <mergeCell ref="E9:F9"/>
    <mergeCell ref="D13:E13"/>
    <mergeCell ref="D14:E14"/>
    <mergeCell ref="E46:F46"/>
    <mergeCell ref="E47:F47"/>
    <mergeCell ref="A51:B51"/>
    <mergeCell ref="A52:B52"/>
    <mergeCell ref="C51:D51"/>
    <mergeCell ref="C52:D52"/>
    <mergeCell ref="E51:F51"/>
    <mergeCell ref="E52:F52"/>
    <mergeCell ref="C47:D47"/>
    <mergeCell ref="C46:D46"/>
    <mergeCell ref="A46:B46"/>
    <mergeCell ref="A47:B47"/>
    <mergeCell ref="A4:B4"/>
    <mergeCell ref="C4:D4"/>
    <mergeCell ref="C5:D5"/>
    <mergeCell ref="A5:B5"/>
    <mergeCell ref="A36:B36"/>
    <mergeCell ref="A37:B37"/>
    <mergeCell ref="A41:B41"/>
    <mergeCell ref="A42:B42"/>
    <mergeCell ref="A32:B32"/>
    <mergeCell ref="E4:F4"/>
    <mergeCell ref="E5:F5"/>
    <mergeCell ref="E28:F28"/>
    <mergeCell ref="E29:F29"/>
    <mergeCell ref="A31:B31"/>
    <mergeCell ref="C29:D29"/>
    <mergeCell ref="C28:D28"/>
    <mergeCell ref="A28:B28"/>
    <mergeCell ref="A29:B29"/>
    <mergeCell ref="E23:F23"/>
    <mergeCell ref="E24:F24"/>
    <mergeCell ref="C19:D19"/>
    <mergeCell ref="C18:D18"/>
    <mergeCell ref="A23:B23"/>
    <mergeCell ref="A24:B24"/>
    <mergeCell ref="C23:D23"/>
    <mergeCell ref="C24:D24"/>
    <mergeCell ref="A18:B18"/>
    <mergeCell ref="A19:B19"/>
    <mergeCell ref="E18:F18"/>
    <mergeCell ref="E19:F19"/>
  </mergeCells>
  <printOptions/>
  <pageMargins left="0.75" right="0.75" top="1" bottom="1" header="0.5" footer="0.5"/>
  <pageSetup horizontalDpi="300" verticalDpi="300" orientation="landscape" r:id="rId1"/>
</worksheet>
</file>

<file path=xl/worksheets/sheet18.xml><?xml version="1.0" encoding="utf-8"?>
<worksheet xmlns="http://schemas.openxmlformats.org/spreadsheetml/2006/main" xmlns:r="http://schemas.openxmlformats.org/officeDocument/2006/relationships">
  <sheetPr codeName="Sheet12"/>
  <dimension ref="A2:M28"/>
  <sheetViews>
    <sheetView tabSelected="1" zoomScale="75" zoomScaleNormal="75" workbookViewId="0" topLeftCell="A1">
      <selection activeCell="E6" sqref="E6:G6"/>
    </sheetView>
  </sheetViews>
  <sheetFormatPr defaultColWidth="9.140625" defaultRowHeight="12.75"/>
  <sheetData>
    <row r="2" spans="1:7" ht="12.75">
      <c r="A2" s="5" t="s">
        <v>183</v>
      </c>
      <c r="F2" s="357" t="s">
        <v>726</v>
      </c>
      <c r="G2" s="357"/>
    </row>
    <row r="4" ht="12.75">
      <c r="A4" s="5" t="s">
        <v>615</v>
      </c>
    </row>
    <row r="5" spans="1:13" ht="13.5" thickBot="1">
      <c r="A5" s="313" t="s">
        <v>184</v>
      </c>
      <c r="B5" s="313"/>
      <c r="C5" s="313" t="s">
        <v>185</v>
      </c>
      <c r="D5" s="313"/>
      <c r="E5" s="313" t="s">
        <v>186</v>
      </c>
      <c r="F5" s="313"/>
      <c r="G5" s="313"/>
      <c r="H5" s="361" t="s">
        <v>187</v>
      </c>
      <c r="I5" s="361"/>
      <c r="J5" s="361"/>
      <c r="L5" s="361" t="s">
        <v>960</v>
      </c>
      <c r="M5" s="361"/>
    </row>
    <row r="6" spans="1:13" ht="13.5" thickBot="1">
      <c r="A6" s="253">
        <v>205</v>
      </c>
      <c r="B6" s="254"/>
      <c r="C6" s="253">
        <v>65</v>
      </c>
      <c r="D6" s="254"/>
      <c r="E6" s="253">
        <v>15</v>
      </c>
      <c r="F6" s="290"/>
      <c r="G6" s="290"/>
      <c r="H6" s="307">
        <f>2*(A6*C6/2540)+E6</f>
        <v>25.49</v>
      </c>
      <c r="I6" s="372"/>
      <c r="J6" s="308"/>
      <c r="L6" s="307">
        <f>(A6*C6)/2540</f>
        <v>5.25</v>
      </c>
      <c r="M6" s="308"/>
    </row>
    <row r="8" ht="12.75">
      <c r="A8" s="5" t="s">
        <v>188</v>
      </c>
    </row>
    <row r="10" spans="1:10" ht="13.5" thickBot="1">
      <c r="A10" s="313" t="s">
        <v>189</v>
      </c>
      <c r="B10" s="313"/>
      <c r="C10" s="313" t="s">
        <v>190</v>
      </c>
      <c r="D10" s="313"/>
      <c r="E10" s="313" t="s">
        <v>191</v>
      </c>
      <c r="F10" s="313"/>
      <c r="G10" s="361" t="s">
        <v>192</v>
      </c>
      <c r="H10" s="361"/>
      <c r="I10" s="361"/>
      <c r="J10" s="361"/>
    </row>
    <row r="11" spans="1:10" ht="13.5" thickBot="1">
      <c r="A11" s="253">
        <v>28.9</v>
      </c>
      <c r="B11" s="254"/>
      <c r="C11" s="253">
        <v>33</v>
      </c>
      <c r="D11" s="254"/>
      <c r="E11" s="253">
        <v>3.08</v>
      </c>
      <c r="F11" s="254"/>
      <c r="G11" s="372">
        <f>A11/C11*E11</f>
        <v>2.7</v>
      </c>
      <c r="H11" s="372"/>
      <c r="I11" s="372"/>
      <c r="J11" s="308"/>
    </row>
    <row r="13" ht="12.75">
      <c r="A13" s="5" t="s">
        <v>193</v>
      </c>
    </row>
    <row r="15" spans="1:12" ht="13.5" thickBot="1">
      <c r="A15" s="313" t="s">
        <v>189</v>
      </c>
      <c r="B15" s="313"/>
      <c r="C15" s="313" t="s">
        <v>190</v>
      </c>
      <c r="D15" s="313"/>
      <c r="E15" s="313" t="s">
        <v>191</v>
      </c>
      <c r="F15" s="313"/>
      <c r="G15" s="361" t="s">
        <v>194</v>
      </c>
      <c r="H15" s="361"/>
      <c r="I15" s="361"/>
      <c r="J15" s="361"/>
      <c r="K15" s="361"/>
      <c r="L15" s="361"/>
    </row>
    <row r="16" spans="1:12" ht="13.5" thickBot="1">
      <c r="A16" s="253">
        <v>28.9</v>
      </c>
      <c r="B16" s="254"/>
      <c r="C16" s="253">
        <v>33</v>
      </c>
      <c r="D16" s="254"/>
      <c r="E16" s="253">
        <v>3.08</v>
      </c>
      <c r="F16" s="290"/>
      <c r="G16" s="307">
        <f>(C16/A16)*E16</f>
        <v>3.52</v>
      </c>
      <c r="H16" s="372"/>
      <c r="I16" s="372"/>
      <c r="J16" s="372"/>
      <c r="K16" s="372"/>
      <c r="L16" s="308"/>
    </row>
    <row r="18" ht="12.75">
      <c r="A18" s="5" t="s">
        <v>195</v>
      </c>
    </row>
    <row r="20" spans="1:8" ht="13.5" thickBot="1">
      <c r="A20" s="313" t="s">
        <v>189</v>
      </c>
      <c r="B20" s="313"/>
      <c r="C20" s="313" t="s">
        <v>190</v>
      </c>
      <c r="D20" s="313"/>
      <c r="E20" s="313" t="s">
        <v>196</v>
      </c>
      <c r="F20" s="313"/>
      <c r="G20" s="361" t="s">
        <v>197</v>
      </c>
      <c r="H20" s="361"/>
    </row>
    <row r="21" spans="1:8" ht="13.5" thickBot="1">
      <c r="A21" s="253">
        <v>26</v>
      </c>
      <c r="B21" s="254"/>
      <c r="C21" s="253">
        <v>22.4</v>
      </c>
      <c r="D21" s="254"/>
      <c r="E21" s="253">
        <v>65</v>
      </c>
      <c r="F21" s="254"/>
      <c r="G21" s="372">
        <f>C21/A21*E21</f>
        <v>56</v>
      </c>
      <c r="H21" s="308"/>
    </row>
    <row r="23" ht="12.75">
      <c r="A23" s="5" t="s">
        <v>198</v>
      </c>
    </row>
    <row r="25" spans="1:11" ht="13.5" thickBot="1">
      <c r="A25" s="313" t="s">
        <v>189</v>
      </c>
      <c r="B25" s="313"/>
      <c r="C25" s="313" t="s">
        <v>190</v>
      </c>
      <c r="D25" s="313"/>
      <c r="E25" s="313" t="s">
        <v>197</v>
      </c>
      <c r="F25" s="313"/>
      <c r="G25" s="361" t="s">
        <v>199</v>
      </c>
      <c r="H25" s="361"/>
      <c r="I25" s="361"/>
      <c r="J25" s="361"/>
      <c r="K25" s="361"/>
    </row>
    <row r="26" spans="1:11" ht="13.5" thickBot="1">
      <c r="A26" s="253">
        <v>26</v>
      </c>
      <c r="B26" s="254"/>
      <c r="C26" s="253">
        <v>22.4</v>
      </c>
      <c r="D26" s="254"/>
      <c r="E26" s="253">
        <v>65</v>
      </c>
      <c r="F26" s="254"/>
      <c r="G26" s="372">
        <f>A26/C26*E26</f>
        <v>75.45</v>
      </c>
      <c r="H26" s="372"/>
      <c r="I26" s="372"/>
      <c r="J26" s="372"/>
      <c r="K26" s="308"/>
    </row>
    <row r="28" ht="12.75">
      <c r="A28" s="5"/>
    </row>
  </sheetData>
  <mergeCells count="43">
    <mergeCell ref="L5:M5"/>
    <mergeCell ref="L6:M6"/>
    <mergeCell ref="C5:D5"/>
    <mergeCell ref="C6:D6"/>
    <mergeCell ref="A5:B5"/>
    <mergeCell ref="A6:B6"/>
    <mergeCell ref="H5:J5"/>
    <mergeCell ref="H6:J6"/>
    <mergeCell ref="E5:G5"/>
    <mergeCell ref="E6:G6"/>
    <mergeCell ref="C10:D10"/>
    <mergeCell ref="C11:D11"/>
    <mergeCell ref="A11:B11"/>
    <mergeCell ref="A10:B10"/>
    <mergeCell ref="G10:J10"/>
    <mergeCell ref="G11:J11"/>
    <mergeCell ref="E10:F10"/>
    <mergeCell ref="E11:F11"/>
    <mergeCell ref="G20:H20"/>
    <mergeCell ref="G21:H21"/>
    <mergeCell ref="A15:B15"/>
    <mergeCell ref="C15:D15"/>
    <mergeCell ref="E15:F15"/>
    <mergeCell ref="G15:L15"/>
    <mergeCell ref="G16:L16"/>
    <mergeCell ref="E16:F16"/>
    <mergeCell ref="C16:D16"/>
    <mergeCell ref="A16:B16"/>
    <mergeCell ref="A21:B21"/>
    <mergeCell ref="C20:D20"/>
    <mergeCell ref="C21:D21"/>
    <mergeCell ref="E20:F20"/>
    <mergeCell ref="E21:F21"/>
    <mergeCell ref="F2:G2"/>
    <mergeCell ref="A25:B25"/>
    <mergeCell ref="A26:B26"/>
    <mergeCell ref="C25:D25"/>
    <mergeCell ref="C26:D26"/>
    <mergeCell ref="E25:F25"/>
    <mergeCell ref="E26:F26"/>
    <mergeCell ref="G25:K25"/>
    <mergeCell ref="G26:K26"/>
    <mergeCell ref="A20:B20"/>
  </mergeCells>
  <hyperlinks>
    <hyperlink ref="F2" location="Aspect_Ratio" display="Aspect_Ratio"/>
  </hyperlinks>
  <printOptions/>
  <pageMargins left="0.75" right="0.75" top="1" bottom="1" header="0.5" footer="0.5"/>
  <pageSetup horizontalDpi="300" verticalDpi="300" orientation="landscape" r:id="rId3"/>
  <legacyDrawing r:id="rId2"/>
</worksheet>
</file>

<file path=xl/worksheets/sheet19.xml><?xml version="1.0" encoding="utf-8"?>
<worksheet xmlns="http://schemas.openxmlformats.org/spreadsheetml/2006/main" xmlns:r="http://schemas.openxmlformats.org/officeDocument/2006/relationships">
  <sheetPr codeName="Sheet13"/>
  <dimension ref="A2:K170"/>
  <sheetViews>
    <sheetView zoomScale="75" zoomScaleNormal="75" workbookViewId="0" topLeftCell="A1">
      <selection activeCell="F4" sqref="F4:H4"/>
    </sheetView>
  </sheetViews>
  <sheetFormatPr defaultColWidth="9.140625" defaultRowHeight="12.75"/>
  <cols>
    <col min="1" max="1" width="22.28125" style="0" customWidth="1"/>
    <col min="2" max="2" width="6.421875" style="4" bestFit="1" customWidth="1"/>
    <col min="3" max="3" width="14.7109375" style="1" customWidth="1"/>
    <col min="4" max="4" width="11.57421875" style="4" customWidth="1"/>
    <col min="5" max="5" width="14.00390625" style="1" bestFit="1" customWidth="1"/>
    <col min="6" max="6" width="3.421875" style="4" bestFit="1" customWidth="1"/>
    <col min="7" max="7" width="16.140625" style="1" bestFit="1" customWidth="1"/>
    <col min="9" max="9" width="14.28125" style="0" customWidth="1"/>
  </cols>
  <sheetData>
    <row r="2" spans="1:8" ht="20.25">
      <c r="A2" s="377" t="s">
        <v>711</v>
      </c>
      <c r="B2" s="377"/>
      <c r="C2" s="377"/>
      <c r="D2" s="377"/>
      <c r="E2" s="377"/>
      <c r="F2" s="377"/>
      <c r="G2" s="377"/>
      <c r="H2" s="377"/>
    </row>
    <row r="3" spans="1:10" s="100" customFormat="1" ht="13.5" thickBot="1">
      <c r="A3" s="2" t="s">
        <v>717</v>
      </c>
      <c r="C3" s="5" t="s">
        <v>540</v>
      </c>
      <c r="D3" s="383" t="s">
        <v>534</v>
      </c>
      <c r="E3" s="383"/>
      <c r="F3" s="2" t="s">
        <v>536</v>
      </c>
      <c r="G3" s="4"/>
      <c r="I3" s="295" t="s">
        <v>535</v>
      </c>
      <c r="J3" s="295"/>
    </row>
    <row r="4" spans="1:10" ht="13.5" thickBot="1">
      <c r="A4" s="215">
        <v>0.25</v>
      </c>
      <c r="C4" s="95" t="s">
        <v>542</v>
      </c>
      <c r="D4" s="378">
        <f>IF(C4="coarse",VLOOKUP(A4,A105:E140,3,FALSE),VLOOKUP(A4,G105:K130,3,FALSE))</f>
        <v>20</v>
      </c>
      <c r="E4" s="379"/>
      <c r="F4" s="380">
        <f>IF(C4="coarse",VLOOKUP(A4,A105:E140,5,FALSE),VLOOKUP(A4,G105:K130,5,FALSE))</f>
        <v>0.201</v>
      </c>
      <c r="G4" s="382"/>
      <c r="H4" s="381"/>
      <c r="I4" s="375" t="str">
        <f>IF(C4="coarse",VLOOKUP(A4,A105:E140,4,FALSE),VLOOKUP(A4,G105:K130,4,FALSE))</f>
        <v>#7</v>
      </c>
      <c r="J4" s="376"/>
    </row>
    <row r="5" spans="2:3" ht="12.75">
      <c r="B5" s="295"/>
      <c r="C5" s="295"/>
    </row>
    <row r="6" spans="1:8" ht="20.25">
      <c r="A6" s="377" t="s">
        <v>712</v>
      </c>
      <c r="B6" s="377"/>
      <c r="C6" s="377"/>
      <c r="D6" s="377"/>
      <c r="E6" s="377"/>
      <c r="F6" s="377"/>
      <c r="G6" s="377"/>
      <c r="H6" s="377"/>
    </row>
    <row r="7" spans="1:9" ht="13.5" thickBot="1">
      <c r="A7" s="5" t="s">
        <v>713</v>
      </c>
      <c r="C7" s="4" t="s">
        <v>714</v>
      </c>
      <c r="D7" s="2" t="s">
        <v>715</v>
      </c>
      <c r="G7" s="4" t="s">
        <v>716</v>
      </c>
      <c r="H7" s="295" t="s">
        <v>720</v>
      </c>
      <c r="I7" s="295"/>
    </row>
    <row r="8" spans="1:9" ht="13.5" thickBot="1">
      <c r="A8" s="188" t="s">
        <v>719</v>
      </c>
      <c r="C8" s="226">
        <f>VLOOKUP(A8,A143:E170,2,FALSE)</f>
        <v>0.8</v>
      </c>
      <c r="D8" s="380">
        <f>VLOOKUP(A8,A143:E170,3,FALSE)</f>
        <v>0.1968</v>
      </c>
      <c r="E8" s="381"/>
      <c r="G8" s="53">
        <f>VLOOKUP(A8,A143:D170,4,FALSE)</f>
        <v>4.2</v>
      </c>
      <c r="H8" s="314">
        <f>VLOOKUP(A8,A143:E170,5,FALSE)</f>
        <v>0.1653</v>
      </c>
      <c r="I8" s="297"/>
    </row>
    <row r="9" ht="12.75">
      <c r="A9" t="s">
        <v>718</v>
      </c>
    </row>
    <row r="10" spans="1:8" ht="20.25">
      <c r="A10" s="377" t="s">
        <v>200</v>
      </c>
      <c r="B10" s="377"/>
      <c r="C10" s="377"/>
      <c r="D10" s="377"/>
      <c r="E10" s="377"/>
      <c r="F10" s="377"/>
      <c r="G10" s="377"/>
      <c r="H10" s="377"/>
    </row>
    <row r="12" spans="1:8" ht="15.75">
      <c r="A12" s="384" t="s">
        <v>201</v>
      </c>
      <c r="B12" s="384"/>
      <c r="C12" s="384"/>
      <c r="D12" s="384"/>
      <c r="E12" s="384"/>
      <c r="F12" s="384"/>
      <c r="G12" s="384"/>
      <c r="H12" s="384"/>
    </row>
    <row r="14" spans="1:7" ht="13.5" thickBot="1">
      <c r="A14" s="20" t="s">
        <v>206</v>
      </c>
      <c r="B14" s="4" t="s">
        <v>208</v>
      </c>
      <c r="C14" s="20" t="s">
        <v>204</v>
      </c>
      <c r="D14" s="4" t="s">
        <v>207</v>
      </c>
      <c r="E14" s="20" t="s">
        <v>204</v>
      </c>
      <c r="F14" s="4" t="s">
        <v>208</v>
      </c>
      <c r="G14" s="20" t="s">
        <v>206</v>
      </c>
    </row>
    <row r="15" spans="1:7" ht="13.5" thickBot="1">
      <c r="A15" s="95">
        <v>25.4</v>
      </c>
      <c r="C15" s="98">
        <f>+A15/25.4</f>
        <v>1</v>
      </c>
      <c r="E15" s="95">
        <v>0.016</v>
      </c>
      <c r="G15" s="53">
        <f>E15*25.4</f>
        <v>0.4064</v>
      </c>
    </row>
    <row r="16" ht="12.75">
      <c r="C16" s="26"/>
    </row>
    <row r="17" spans="1:7" ht="13.5" thickBot="1">
      <c r="A17" s="20" t="s">
        <v>212</v>
      </c>
      <c r="B17" s="4" t="s">
        <v>211</v>
      </c>
      <c r="C17" s="101" t="s">
        <v>204</v>
      </c>
      <c r="D17" s="4" t="s">
        <v>207</v>
      </c>
      <c r="E17" s="20" t="s">
        <v>204</v>
      </c>
      <c r="F17" s="4" t="s">
        <v>208</v>
      </c>
      <c r="G17" s="20" t="s">
        <v>203</v>
      </c>
    </row>
    <row r="18" spans="1:7" ht="13.5" thickBot="1">
      <c r="A18" s="95">
        <v>2.54</v>
      </c>
      <c r="C18" s="98">
        <f>A18*0.3937008</f>
        <v>1</v>
      </c>
      <c r="E18" s="95">
        <v>2</v>
      </c>
      <c r="G18" s="53">
        <f>E18*2.54</f>
        <v>5.08</v>
      </c>
    </row>
    <row r="20" spans="1:7" ht="13.5" thickBot="1">
      <c r="A20" s="20" t="s">
        <v>203</v>
      </c>
      <c r="B20" s="4" t="s">
        <v>208</v>
      </c>
      <c r="C20" s="20" t="s">
        <v>205</v>
      </c>
      <c r="D20" s="4" t="s">
        <v>207</v>
      </c>
      <c r="E20" s="20" t="s">
        <v>205</v>
      </c>
      <c r="F20" s="4" t="s">
        <v>208</v>
      </c>
      <c r="G20" s="20" t="s">
        <v>203</v>
      </c>
    </row>
    <row r="21" spans="1:7" ht="13.5" thickBot="1">
      <c r="A21" s="95">
        <v>10</v>
      </c>
      <c r="C21" s="53">
        <f>A21*0.0328084</f>
        <v>0.328084</v>
      </c>
      <c r="E21" s="95">
        <v>10</v>
      </c>
      <c r="G21" s="53">
        <f>E21*30.48</f>
        <v>304.8</v>
      </c>
    </row>
    <row r="23" spans="1:7" ht="13.5" thickBot="1">
      <c r="A23" s="20" t="s">
        <v>209</v>
      </c>
      <c r="B23" s="4" t="s">
        <v>208</v>
      </c>
      <c r="C23" s="20" t="s">
        <v>210</v>
      </c>
      <c r="D23" s="4" t="s">
        <v>207</v>
      </c>
      <c r="E23" s="20" t="s">
        <v>210</v>
      </c>
      <c r="F23" s="4" t="s">
        <v>211</v>
      </c>
      <c r="G23" s="20" t="s">
        <v>209</v>
      </c>
    </row>
    <row r="24" spans="1:7" ht="13.5" thickBot="1">
      <c r="A24" s="95">
        <v>1</v>
      </c>
      <c r="C24" s="53">
        <f>A24*0.6213712</f>
        <v>0.6213712</v>
      </c>
      <c r="E24" s="95">
        <v>0.621371</v>
      </c>
      <c r="G24" s="53">
        <f>E24*1.609344</f>
        <v>0.999999690624</v>
      </c>
    </row>
    <row r="26" spans="1:8" ht="15.75">
      <c r="A26" s="384" t="s">
        <v>42</v>
      </c>
      <c r="B26" s="384"/>
      <c r="C26" s="384"/>
      <c r="D26" s="384"/>
      <c r="E26" s="384"/>
      <c r="F26" s="384"/>
      <c r="G26" s="384"/>
      <c r="H26" s="384"/>
    </row>
    <row r="27" ht="12.75">
      <c r="A27" s="5"/>
    </row>
    <row r="28" spans="1:7" ht="13.5" thickBot="1">
      <c r="A28" s="20" t="s">
        <v>219</v>
      </c>
      <c r="B28" s="4" t="s">
        <v>208</v>
      </c>
      <c r="C28" s="20" t="s">
        <v>216</v>
      </c>
      <c r="D28" s="4" t="s">
        <v>207</v>
      </c>
      <c r="E28" s="20" t="s">
        <v>216</v>
      </c>
      <c r="F28" s="4" t="s">
        <v>211</v>
      </c>
      <c r="G28" s="20" t="s">
        <v>219</v>
      </c>
    </row>
    <row r="29" spans="1:7" ht="13.5" thickBot="1">
      <c r="A29" s="99">
        <v>500</v>
      </c>
      <c r="C29" s="53">
        <f>A29*0.0000353</f>
        <v>0.01765</v>
      </c>
      <c r="E29" s="95">
        <v>16</v>
      </c>
      <c r="G29" s="53">
        <f>E29*28349.523</f>
        <v>453592.368</v>
      </c>
    </row>
    <row r="31" spans="1:7" ht="13.5" thickBot="1">
      <c r="A31" s="20" t="s">
        <v>213</v>
      </c>
      <c r="B31" s="4" t="s">
        <v>211</v>
      </c>
      <c r="C31" s="20" t="s">
        <v>216</v>
      </c>
      <c r="D31" s="4" t="s">
        <v>207</v>
      </c>
      <c r="E31" s="20" t="s">
        <v>216</v>
      </c>
      <c r="F31" s="4" t="s">
        <v>208</v>
      </c>
      <c r="G31" s="20" t="s">
        <v>213</v>
      </c>
    </row>
    <row r="32" spans="1:7" ht="13.5" thickBot="1">
      <c r="A32" s="95">
        <v>453.6</v>
      </c>
      <c r="C32" s="53">
        <f>A32*0.035274</f>
        <v>16.0002864</v>
      </c>
      <c r="E32" s="95">
        <v>16</v>
      </c>
      <c r="G32" s="53">
        <f>E32*28.35</f>
        <v>453.6</v>
      </c>
    </row>
    <row r="34" spans="1:7" ht="13.5" thickBot="1">
      <c r="A34" s="20" t="s">
        <v>214</v>
      </c>
      <c r="B34" s="4" t="s">
        <v>211</v>
      </c>
      <c r="C34" s="20" t="s">
        <v>217</v>
      </c>
      <c r="D34" s="4" t="s">
        <v>207</v>
      </c>
      <c r="E34" s="20" t="s">
        <v>217</v>
      </c>
      <c r="F34" s="4" t="s">
        <v>208</v>
      </c>
      <c r="G34" s="20" t="s">
        <v>214</v>
      </c>
    </row>
    <row r="35" spans="1:7" ht="13.5" thickBot="1">
      <c r="A35" s="95">
        <v>25</v>
      </c>
      <c r="C35" s="53">
        <f>A35*2.2046224</f>
        <v>55.11556</v>
      </c>
      <c r="E35" s="95">
        <v>138</v>
      </c>
      <c r="G35" s="53">
        <f>E35*0.4535924</f>
        <v>62.5957512</v>
      </c>
    </row>
    <row r="37" spans="1:7" ht="13.5" thickBot="1">
      <c r="A37" s="20" t="s">
        <v>215</v>
      </c>
      <c r="B37" s="4" t="s">
        <v>208</v>
      </c>
      <c r="C37" s="20" t="s">
        <v>218</v>
      </c>
      <c r="D37" s="4" t="s">
        <v>207</v>
      </c>
      <c r="E37" s="20" t="s">
        <v>218</v>
      </c>
      <c r="F37" s="4" t="s">
        <v>208</v>
      </c>
      <c r="G37" s="20" t="s">
        <v>215</v>
      </c>
    </row>
    <row r="38" spans="1:7" ht="13.5" thickBot="1">
      <c r="A38" s="95">
        <v>4.8</v>
      </c>
      <c r="C38" s="53">
        <f>A38*1.1023113</f>
        <v>5.29109424</v>
      </c>
      <c r="E38" s="95">
        <v>5.3</v>
      </c>
      <c r="G38" s="53">
        <f>E38*0.9071847</f>
        <v>4.80807891</v>
      </c>
    </row>
    <row r="40" spans="1:8" ht="15.75">
      <c r="A40" s="384" t="s">
        <v>202</v>
      </c>
      <c r="B40" s="384"/>
      <c r="C40" s="384"/>
      <c r="D40" s="384"/>
      <c r="E40" s="384"/>
      <c r="F40" s="384"/>
      <c r="G40" s="384"/>
      <c r="H40" s="384"/>
    </row>
    <row r="42" spans="1:7" ht="13.5" thickBot="1">
      <c r="A42" s="20" t="s">
        <v>221</v>
      </c>
      <c r="B42" s="4" t="s">
        <v>208</v>
      </c>
      <c r="C42" s="20" t="s">
        <v>220</v>
      </c>
      <c r="D42" s="4" t="s">
        <v>207</v>
      </c>
      <c r="E42" s="20" t="s">
        <v>220</v>
      </c>
      <c r="F42" s="4" t="s">
        <v>211</v>
      </c>
      <c r="G42" s="20" t="s">
        <v>221</v>
      </c>
    </row>
    <row r="43" spans="1:7" ht="13.5" thickBot="1">
      <c r="A43" s="95">
        <v>100</v>
      </c>
      <c r="C43" s="97">
        <f>9/5*A43+32</f>
        <v>212</v>
      </c>
      <c r="E43" s="95">
        <v>212</v>
      </c>
      <c r="G43" s="53">
        <f>5/9*(E43-32)</f>
        <v>100</v>
      </c>
    </row>
    <row r="45" spans="1:9" ht="13.5" thickBot="1">
      <c r="A45" s="20" t="s">
        <v>221</v>
      </c>
      <c r="B45" s="4" t="s">
        <v>208</v>
      </c>
      <c r="C45" s="20" t="s">
        <v>222</v>
      </c>
      <c r="D45" s="4" t="s">
        <v>207</v>
      </c>
      <c r="E45" s="20" t="s">
        <v>222</v>
      </c>
      <c r="F45" s="4" t="s">
        <v>211</v>
      </c>
      <c r="G45" s="20" t="s">
        <v>221</v>
      </c>
      <c r="I45" s="100"/>
    </row>
    <row r="46" spans="1:7" ht="13.5" thickBot="1">
      <c r="A46" s="95">
        <v>0</v>
      </c>
      <c r="C46" s="53">
        <f>A46+237.16</f>
        <v>237.16</v>
      </c>
      <c r="E46" s="95">
        <v>0</v>
      </c>
      <c r="G46" s="53">
        <f>E46-237.16</f>
        <v>-237.16</v>
      </c>
    </row>
    <row r="48" spans="1:8" ht="15.75">
      <c r="A48" s="385" t="s">
        <v>223</v>
      </c>
      <c r="B48" s="385"/>
      <c r="C48" s="385"/>
      <c r="D48" s="385"/>
      <c r="E48" s="385"/>
      <c r="F48" s="385"/>
      <c r="G48" s="385"/>
      <c r="H48" s="385"/>
    </row>
    <row r="50" spans="1:7" ht="13.5" thickBot="1">
      <c r="A50" s="20" t="s">
        <v>959</v>
      </c>
      <c r="B50" s="4" t="s">
        <v>211</v>
      </c>
      <c r="C50" s="20" t="s">
        <v>224</v>
      </c>
      <c r="D50" s="4" t="s">
        <v>207</v>
      </c>
      <c r="E50" s="20" t="s">
        <v>224</v>
      </c>
      <c r="F50" s="4" t="s">
        <v>211</v>
      </c>
      <c r="G50" s="20" t="s">
        <v>959</v>
      </c>
    </row>
    <row r="51" spans="1:7" ht="13.5" thickBot="1">
      <c r="A51" s="95">
        <v>2007</v>
      </c>
      <c r="C51" s="53">
        <f>A51*0.001</f>
        <v>2.007</v>
      </c>
      <c r="E51" s="95">
        <v>2.017</v>
      </c>
      <c r="G51" s="53">
        <f>E51*1000</f>
        <v>2017</v>
      </c>
    </row>
    <row r="53" spans="1:7" ht="13.5" thickBot="1">
      <c r="A53" s="20" t="s">
        <v>224</v>
      </c>
      <c r="B53" s="4" t="s">
        <v>208</v>
      </c>
      <c r="C53" s="20" t="s">
        <v>225</v>
      </c>
      <c r="D53" s="4" t="s">
        <v>207</v>
      </c>
      <c r="E53" s="20" t="s">
        <v>225</v>
      </c>
      <c r="F53" s="4" t="s">
        <v>211</v>
      </c>
      <c r="G53" s="20" t="s">
        <v>224</v>
      </c>
    </row>
    <row r="54" spans="1:7" ht="13.5" thickBot="1">
      <c r="A54" s="95">
        <v>2.007</v>
      </c>
      <c r="C54" s="53">
        <f>A54*61.023744</f>
        <v>122.474654208</v>
      </c>
      <c r="E54" s="95">
        <v>350</v>
      </c>
      <c r="G54" s="53">
        <f>E54*0.0163871</f>
        <v>5.735485</v>
      </c>
    </row>
    <row r="56" spans="1:3" ht="13.5" thickBot="1">
      <c r="A56" s="20" t="s">
        <v>959</v>
      </c>
      <c r="B56" s="4" t="s">
        <v>211</v>
      </c>
      <c r="C56" s="20" t="s">
        <v>225</v>
      </c>
    </row>
    <row r="57" spans="1:3" ht="13.5" thickBot="1">
      <c r="A57" s="95">
        <v>2007</v>
      </c>
      <c r="C57" s="53">
        <f>(A57*0.001)*61.023744</f>
        <v>122.474654208</v>
      </c>
    </row>
    <row r="104" spans="1:11" ht="13.5" thickBot="1">
      <c r="A104" s="220" t="s">
        <v>533</v>
      </c>
      <c r="B104" s="220"/>
      <c r="C104" s="221" t="s">
        <v>537</v>
      </c>
      <c r="D104" s="220" t="s">
        <v>538</v>
      </c>
      <c r="E104" s="220" t="s">
        <v>539</v>
      </c>
      <c r="F104" s="220"/>
      <c r="G104" s="220" t="s">
        <v>533</v>
      </c>
      <c r="H104" s="220"/>
      <c r="I104" s="221" t="s">
        <v>537</v>
      </c>
      <c r="J104" s="220" t="s">
        <v>538</v>
      </c>
      <c r="K104" s="220" t="s">
        <v>539</v>
      </c>
    </row>
    <row r="105" spans="1:11" ht="12.75">
      <c r="A105" s="217">
        <v>0</v>
      </c>
      <c r="B105" s="79"/>
      <c r="C105" s="216">
        <v>80</v>
      </c>
      <c r="D105" s="218">
        <v>0.046875</v>
      </c>
      <c r="E105" s="219">
        <v>0.0469</v>
      </c>
      <c r="F105" s="79"/>
      <c r="G105" s="217">
        <v>0</v>
      </c>
      <c r="H105" s="79"/>
      <c r="I105" s="216">
        <v>80</v>
      </c>
      <c r="J105" s="218">
        <v>0.046875</v>
      </c>
      <c r="K105" s="219">
        <v>0.0469</v>
      </c>
    </row>
    <row r="106" spans="1:11" ht="12.75">
      <c r="A106" s="217">
        <v>1</v>
      </c>
      <c r="B106" s="79" t="s">
        <v>542</v>
      </c>
      <c r="C106" s="216">
        <v>64</v>
      </c>
      <c r="D106" s="218" t="s">
        <v>660</v>
      </c>
      <c r="E106" s="219">
        <v>0.0595</v>
      </c>
      <c r="F106" s="79"/>
      <c r="G106" s="217">
        <v>1</v>
      </c>
      <c r="H106" s="79" t="s">
        <v>541</v>
      </c>
      <c r="I106" s="216">
        <v>72</v>
      </c>
      <c r="J106" s="218" t="s">
        <v>660</v>
      </c>
      <c r="K106" s="219">
        <v>0.0595</v>
      </c>
    </row>
    <row r="107" spans="1:11" ht="12.75">
      <c r="A107" s="217">
        <v>2</v>
      </c>
      <c r="B107" s="79" t="s">
        <v>542</v>
      </c>
      <c r="C107" s="216">
        <v>56</v>
      </c>
      <c r="D107" s="218" t="s">
        <v>661</v>
      </c>
      <c r="E107" s="219">
        <v>0.07</v>
      </c>
      <c r="F107" s="79"/>
      <c r="G107" s="217">
        <v>2</v>
      </c>
      <c r="H107" s="79" t="s">
        <v>541</v>
      </c>
      <c r="I107" s="216">
        <v>64</v>
      </c>
      <c r="J107" s="218" t="s">
        <v>661</v>
      </c>
      <c r="K107" s="219">
        <v>0.07</v>
      </c>
    </row>
    <row r="108" spans="1:11" ht="12.75">
      <c r="A108" s="217">
        <v>3</v>
      </c>
      <c r="B108" s="79" t="s">
        <v>542</v>
      </c>
      <c r="C108" s="216">
        <v>48</v>
      </c>
      <c r="D108" s="218" t="s">
        <v>662</v>
      </c>
      <c r="E108" s="219">
        <v>0.0785</v>
      </c>
      <c r="F108" s="79"/>
      <c r="G108" s="217">
        <v>3</v>
      </c>
      <c r="H108" s="79" t="s">
        <v>541</v>
      </c>
      <c r="I108" s="216">
        <v>56</v>
      </c>
      <c r="J108" s="218" t="s">
        <v>673</v>
      </c>
      <c r="K108" s="219">
        <v>0.082</v>
      </c>
    </row>
    <row r="109" spans="1:11" ht="12.75">
      <c r="A109" s="217">
        <v>4</v>
      </c>
      <c r="B109" s="79" t="s">
        <v>542</v>
      </c>
      <c r="C109" s="216">
        <v>40</v>
      </c>
      <c r="D109" s="218" t="s">
        <v>663</v>
      </c>
      <c r="E109" s="219">
        <v>0.089</v>
      </c>
      <c r="F109" s="79"/>
      <c r="G109" s="217">
        <v>4</v>
      </c>
      <c r="H109" s="79" t="s">
        <v>541</v>
      </c>
      <c r="I109" s="216">
        <v>48</v>
      </c>
      <c r="J109" s="218" t="s">
        <v>674</v>
      </c>
      <c r="K109" s="219">
        <v>0.0935</v>
      </c>
    </row>
    <row r="110" spans="1:11" ht="12.75">
      <c r="A110" s="217">
        <v>0.125</v>
      </c>
      <c r="B110" s="79" t="s">
        <v>542</v>
      </c>
      <c r="C110" s="216">
        <v>32</v>
      </c>
      <c r="D110" s="218">
        <v>0.09375</v>
      </c>
      <c r="E110" s="219">
        <v>0.0937</v>
      </c>
      <c r="F110" s="79"/>
      <c r="G110" s="217">
        <v>0.125</v>
      </c>
      <c r="H110" s="79" t="s">
        <v>541</v>
      </c>
      <c r="I110" s="216">
        <v>40</v>
      </c>
      <c r="J110" s="218" t="s">
        <v>664</v>
      </c>
      <c r="K110" s="219">
        <v>0.1015</v>
      </c>
    </row>
    <row r="111" spans="1:11" ht="12.75">
      <c r="A111" s="217">
        <v>5</v>
      </c>
      <c r="B111" s="79" t="s">
        <v>542</v>
      </c>
      <c r="C111" s="216">
        <v>40</v>
      </c>
      <c r="D111" s="218" t="s">
        <v>664</v>
      </c>
      <c r="E111" s="219">
        <v>0.1015</v>
      </c>
      <c r="F111" s="79"/>
      <c r="G111" s="217">
        <v>5</v>
      </c>
      <c r="H111" s="79" t="s">
        <v>541</v>
      </c>
      <c r="I111" s="216">
        <v>44</v>
      </c>
      <c r="J111" s="218" t="s">
        <v>675</v>
      </c>
      <c r="K111" s="219">
        <v>0.104</v>
      </c>
    </row>
    <row r="112" spans="1:11" ht="12.75">
      <c r="A112" s="217">
        <v>6</v>
      </c>
      <c r="B112" s="79" t="s">
        <v>542</v>
      </c>
      <c r="C112" s="216">
        <v>32</v>
      </c>
      <c r="D112" s="218" t="s">
        <v>665</v>
      </c>
      <c r="E112" s="219">
        <v>0.1065</v>
      </c>
      <c r="F112" s="79"/>
      <c r="G112" s="217">
        <v>6</v>
      </c>
      <c r="H112" s="79" t="s">
        <v>541</v>
      </c>
      <c r="I112" s="216">
        <v>40</v>
      </c>
      <c r="J112" s="218" t="s">
        <v>676</v>
      </c>
      <c r="K112" s="219">
        <v>0.113</v>
      </c>
    </row>
    <row r="113" spans="1:11" ht="12.75">
      <c r="A113" s="217">
        <v>8</v>
      </c>
      <c r="B113" s="79" t="s">
        <v>542</v>
      </c>
      <c r="C113" s="216">
        <v>32</v>
      </c>
      <c r="D113" s="218" t="s">
        <v>666</v>
      </c>
      <c r="E113" s="219">
        <v>0.136</v>
      </c>
      <c r="F113" s="79"/>
      <c r="G113" s="217">
        <v>8</v>
      </c>
      <c r="H113" s="79" t="s">
        <v>541</v>
      </c>
      <c r="I113" s="216">
        <v>36</v>
      </c>
      <c r="J113" s="218" t="s">
        <v>666</v>
      </c>
      <c r="K113" s="219">
        <v>0.136</v>
      </c>
    </row>
    <row r="114" spans="1:11" ht="12.75">
      <c r="A114" s="217">
        <v>0.1875</v>
      </c>
      <c r="B114" s="79" t="s">
        <v>542</v>
      </c>
      <c r="C114" s="216">
        <v>24</v>
      </c>
      <c r="D114" s="218" t="s">
        <v>667</v>
      </c>
      <c r="E114" s="219">
        <v>0.147</v>
      </c>
      <c r="F114" s="79"/>
      <c r="G114" s="217">
        <v>0.1875</v>
      </c>
      <c r="H114" s="79" t="s">
        <v>541</v>
      </c>
      <c r="I114" s="216">
        <v>32</v>
      </c>
      <c r="J114" s="218" t="s">
        <v>677</v>
      </c>
      <c r="K114" s="219">
        <v>0.157</v>
      </c>
    </row>
    <row r="115" spans="1:11" ht="12.75">
      <c r="A115" s="217">
        <v>10</v>
      </c>
      <c r="B115" s="79" t="s">
        <v>542</v>
      </c>
      <c r="C115" s="216">
        <v>24</v>
      </c>
      <c r="D115" s="218" t="s">
        <v>668</v>
      </c>
      <c r="E115" s="219">
        <v>0.1495</v>
      </c>
      <c r="F115" s="79"/>
      <c r="G115" s="217">
        <v>10</v>
      </c>
      <c r="H115" s="79" t="s">
        <v>541</v>
      </c>
      <c r="I115" s="216">
        <v>32</v>
      </c>
      <c r="J115" s="218" t="s">
        <v>678</v>
      </c>
      <c r="K115" s="219">
        <v>0.159</v>
      </c>
    </row>
    <row r="116" spans="1:11" ht="12.75">
      <c r="A116" s="217">
        <v>12</v>
      </c>
      <c r="B116" s="79" t="s">
        <v>542</v>
      </c>
      <c r="C116" s="216">
        <v>24</v>
      </c>
      <c r="D116" s="218" t="s">
        <v>669</v>
      </c>
      <c r="E116" s="219">
        <v>0.177</v>
      </c>
      <c r="F116" s="79"/>
      <c r="G116" s="217">
        <v>12</v>
      </c>
      <c r="H116" s="79" t="s">
        <v>541</v>
      </c>
      <c r="I116" s="216">
        <v>28</v>
      </c>
      <c r="J116" s="218" t="s">
        <v>679</v>
      </c>
      <c r="K116" s="219">
        <v>0.182</v>
      </c>
    </row>
    <row r="117" spans="1:11" ht="12.75">
      <c r="A117" s="217">
        <v>0.25</v>
      </c>
      <c r="B117" s="79" t="s">
        <v>542</v>
      </c>
      <c r="C117" s="216">
        <v>20</v>
      </c>
      <c r="D117" s="218" t="s">
        <v>670</v>
      </c>
      <c r="E117" s="219">
        <v>0.201</v>
      </c>
      <c r="F117" s="79"/>
      <c r="G117" s="217">
        <v>0.25</v>
      </c>
      <c r="H117" s="79" t="s">
        <v>541</v>
      </c>
      <c r="I117" s="216">
        <v>28</v>
      </c>
      <c r="J117" s="218" t="s">
        <v>680</v>
      </c>
      <c r="K117" s="219">
        <v>0.213</v>
      </c>
    </row>
    <row r="118" spans="1:11" ht="12.75">
      <c r="A118" s="217">
        <v>0.3125</v>
      </c>
      <c r="B118" s="79" t="s">
        <v>542</v>
      </c>
      <c r="C118" s="216">
        <v>18</v>
      </c>
      <c r="D118" s="218" t="s">
        <v>671</v>
      </c>
      <c r="E118" s="219">
        <v>0.257</v>
      </c>
      <c r="F118" s="79"/>
      <c r="G118" s="217">
        <v>0.3125</v>
      </c>
      <c r="H118" s="79" t="s">
        <v>541</v>
      </c>
      <c r="I118" s="216">
        <v>24</v>
      </c>
      <c r="J118" s="218" t="s">
        <v>681</v>
      </c>
      <c r="K118" s="219">
        <v>0.272</v>
      </c>
    </row>
    <row r="119" spans="1:11" ht="12.75">
      <c r="A119" s="217">
        <v>0.375</v>
      </c>
      <c r="B119" s="79" t="s">
        <v>542</v>
      </c>
      <c r="C119" s="216">
        <v>16</v>
      </c>
      <c r="D119" s="218">
        <v>0.3125</v>
      </c>
      <c r="E119" s="219">
        <v>0.3125</v>
      </c>
      <c r="F119" s="79"/>
      <c r="G119" s="217">
        <v>0.375</v>
      </c>
      <c r="H119" s="79" t="s">
        <v>541</v>
      </c>
      <c r="I119" s="216">
        <v>24</v>
      </c>
      <c r="J119" s="218" t="s">
        <v>682</v>
      </c>
      <c r="K119" s="219">
        <v>0.332</v>
      </c>
    </row>
    <row r="120" spans="1:11" ht="12.75">
      <c r="A120" s="217">
        <v>0.4375</v>
      </c>
      <c r="B120" s="79" t="s">
        <v>542</v>
      </c>
      <c r="C120" s="216">
        <v>14</v>
      </c>
      <c r="D120" s="218" t="s">
        <v>672</v>
      </c>
      <c r="E120" s="219">
        <v>0.368</v>
      </c>
      <c r="F120" s="79"/>
      <c r="G120" s="217">
        <v>0.4375</v>
      </c>
      <c r="H120" s="79" t="s">
        <v>541</v>
      </c>
      <c r="I120" s="216">
        <v>20</v>
      </c>
      <c r="J120" s="218">
        <v>0.390625</v>
      </c>
      <c r="K120" s="219">
        <v>0.3906</v>
      </c>
    </row>
    <row r="121" spans="1:11" ht="12.75">
      <c r="A121" s="217">
        <v>0.5</v>
      </c>
      <c r="B121" s="79" t="s">
        <v>542</v>
      </c>
      <c r="C121" s="216">
        <v>13</v>
      </c>
      <c r="D121" s="218">
        <v>0.421875</v>
      </c>
      <c r="E121" s="219">
        <v>0.4219</v>
      </c>
      <c r="F121" s="79"/>
      <c r="G121" s="217">
        <v>0.5</v>
      </c>
      <c r="H121" s="79" t="s">
        <v>541</v>
      </c>
      <c r="I121" s="216">
        <v>20</v>
      </c>
      <c r="J121" s="218">
        <v>0.453125</v>
      </c>
      <c r="K121" s="219">
        <v>0.4531</v>
      </c>
    </row>
    <row r="122" spans="1:11" ht="12.75">
      <c r="A122" s="217">
        <v>0.5625</v>
      </c>
      <c r="B122" s="79" t="s">
        <v>542</v>
      </c>
      <c r="C122" s="216">
        <v>12</v>
      </c>
      <c r="D122" s="218">
        <v>0.484375</v>
      </c>
      <c r="E122" s="219">
        <v>0.4844</v>
      </c>
      <c r="F122" s="79"/>
      <c r="G122" s="217">
        <v>0.5625</v>
      </c>
      <c r="H122" s="79" t="s">
        <v>541</v>
      </c>
      <c r="I122" s="216">
        <v>18</v>
      </c>
      <c r="J122" s="218">
        <v>0.515625</v>
      </c>
      <c r="K122" s="219">
        <v>0.5156</v>
      </c>
    </row>
    <row r="123" spans="1:11" ht="12.75">
      <c r="A123" s="217">
        <v>0.625</v>
      </c>
      <c r="B123" s="79" t="s">
        <v>542</v>
      </c>
      <c r="C123" s="216">
        <v>11</v>
      </c>
      <c r="D123" s="218">
        <v>0.53125</v>
      </c>
      <c r="E123" s="219">
        <v>0.5312</v>
      </c>
      <c r="F123" s="79"/>
      <c r="G123" s="217">
        <v>0.625</v>
      </c>
      <c r="H123" s="79" t="s">
        <v>541</v>
      </c>
      <c r="I123" s="216">
        <v>28</v>
      </c>
      <c r="J123" s="218">
        <v>0.578125</v>
      </c>
      <c r="K123" s="219">
        <v>0.5781</v>
      </c>
    </row>
    <row r="124" spans="1:11" ht="12.75">
      <c r="A124" s="217">
        <v>0.75</v>
      </c>
      <c r="B124" s="79" t="s">
        <v>542</v>
      </c>
      <c r="C124" s="216">
        <v>10</v>
      </c>
      <c r="D124" s="218">
        <v>0.65625</v>
      </c>
      <c r="E124" s="219">
        <v>0.6562</v>
      </c>
      <c r="F124" s="79"/>
      <c r="G124" s="217">
        <v>0.75</v>
      </c>
      <c r="H124" s="79" t="s">
        <v>541</v>
      </c>
      <c r="I124" s="216">
        <v>26</v>
      </c>
      <c r="J124" s="218">
        <v>0.6875</v>
      </c>
      <c r="K124" s="219">
        <v>0.6875</v>
      </c>
    </row>
    <row r="125" spans="1:11" ht="12.75">
      <c r="A125" s="217">
        <v>0.875</v>
      </c>
      <c r="B125" s="79" t="s">
        <v>542</v>
      </c>
      <c r="C125" s="216">
        <v>9</v>
      </c>
      <c r="D125" s="218">
        <v>0.765625</v>
      </c>
      <c r="E125" s="219">
        <v>0.7656</v>
      </c>
      <c r="F125" s="79"/>
      <c r="G125" s="217">
        <v>0.875</v>
      </c>
      <c r="H125" s="79" t="s">
        <v>541</v>
      </c>
      <c r="I125" s="216">
        <v>24</v>
      </c>
      <c r="J125" s="218">
        <v>0.8125</v>
      </c>
      <c r="K125" s="219">
        <v>0.8125</v>
      </c>
    </row>
    <row r="126" spans="1:11" ht="12.75">
      <c r="A126" s="217">
        <v>1</v>
      </c>
      <c r="B126" s="79" t="s">
        <v>542</v>
      </c>
      <c r="C126" s="216">
        <v>8</v>
      </c>
      <c r="D126" s="218">
        <v>0.875</v>
      </c>
      <c r="E126" s="219">
        <v>0.875</v>
      </c>
      <c r="F126" s="79"/>
      <c r="G126" s="217">
        <v>1</v>
      </c>
      <c r="H126" s="79" t="s">
        <v>541</v>
      </c>
      <c r="I126" s="216">
        <v>14</v>
      </c>
      <c r="J126" s="218">
        <v>0.9375</v>
      </c>
      <c r="K126" s="219">
        <v>0.9375</v>
      </c>
    </row>
    <row r="127" spans="1:11" ht="12.75">
      <c r="A127" s="217">
        <v>1.125</v>
      </c>
      <c r="B127" s="79" t="s">
        <v>542</v>
      </c>
      <c r="C127" s="216">
        <v>7</v>
      </c>
      <c r="D127" s="218">
        <v>0.984375</v>
      </c>
      <c r="E127" s="219">
        <v>0.9844</v>
      </c>
      <c r="F127" s="79"/>
      <c r="G127" s="217">
        <v>1.125</v>
      </c>
      <c r="H127" s="79" t="s">
        <v>541</v>
      </c>
      <c r="I127" s="216">
        <v>12</v>
      </c>
      <c r="J127" s="218">
        <v>1.046875</v>
      </c>
      <c r="K127" s="219">
        <v>1.0469</v>
      </c>
    </row>
    <row r="128" spans="1:11" ht="12.75">
      <c r="A128" s="217">
        <v>1.25</v>
      </c>
      <c r="B128" s="79" t="s">
        <v>542</v>
      </c>
      <c r="C128" s="216">
        <v>7</v>
      </c>
      <c r="D128" s="218">
        <v>1.109375</v>
      </c>
      <c r="E128" s="219">
        <v>1.1094</v>
      </c>
      <c r="F128" s="79"/>
      <c r="G128" s="217">
        <v>1.25</v>
      </c>
      <c r="H128" s="79" t="s">
        <v>541</v>
      </c>
      <c r="I128" s="216">
        <v>12</v>
      </c>
      <c r="J128" s="218">
        <v>1.171875</v>
      </c>
      <c r="K128" s="219">
        <v>1.1719</v>
      </c>
    </row>
    <row r="129" spans="1:11" ht="12.75">
      <c r="A129" s="217">
        <v>1.375</v>
      </c>
      <c r="B129" s="79" t="s">
        <v>542</v>
      </c>
      <c r="C129" s="216">
        <v>6</v>
      </c>
      <c r="D129" s="218">
        <v>1.21875</v>
      </c>
      <c r="E129" s="219">
        <v>1.2187</v>
      </c>
      <c r="F129" s="79"/>
      <c r="G129" s="217">
        <v>1.375</v>
      </c>
      <c r="H129" s="79" t="s">
        <v>541</v>
      </c>
      <c r="I129" s="216">
        <v>12</v>
      </c>
      <c r="J129" s="218">
        <v>1.296875</v>
      </c>
      <c r="K129" s="219">
        <v>1.2969</v>
      </c>
    </row>
    <row r="130" spans="1:11" ht="12.75">
      <c r="A130" s="217">
        <v>1.5</v>
      </c>
      <c r="B130" s="79" t="s">
        <v>542</v>
      </c>
      <c r="C130" s="216">
        <v>6</v>
      </c>
      <c r="D130" s="218">
        <v>1.34375</v>
      </c>
      <c r="E130" s="219">
        <v>1.3281</v>
      </c>
      <c r="F130" s="79"/>
      <c r="G130" s="217">
        <v>1.5</v>
      </c>
      <c r="H130" s="79" t="s">
        <v>541</v>
      </c>
      <c r="I130" s="216">
        <v>12</v>
      </c>
      <c r="J130" s="218">
        <v>1.421875</v>
      </c>
      <c r="K130" s="219">
        <v>1.4219</v>
      </c>
    </row>
    <row r="131" spans="1:5" ht="12.75">
      <c r="A131" s="217">
        <v>1.75</v>
      </c>
      <c r="B131" s="79" t="s">
        <v>542</v>
      </c>
      <c r="C131" s="216">
        <v>5</v>
      </c>
      <c r="D131" s="218">
        <v>1.5625</v>
      </c>
      <c r="E131" s="219">
        <v>1.5469</v>
      </c>
    </row>
    <row r="132" spans="1:5" ht="12.75">
      <c r="A132" s="217">
        <v>2</v>
      </c>
      <c r="B132" s="79" t="s">
        <v>542</v>
      </c>
      <c r="C132" s="222">
        <v>4.5</v>
      </c>
      <c r="D132" s="218">
        <v>1.78125</v>
      </c>
      <c r="E132" s="219">
        <v>1.7812</v>
      </c>
    </row>
    <row r="133" spans="1:5" ht="12.75">
      <c r="A133" s="217">
        <v>2.25</v>
      </c>
      <c r="B133" s="79" t="s">
        <v>542</v>
      </c>
      <c r="C133" s="222">
        <v>4.5</v>
      </c>
      <c r="D133" s="218">
        <v>2.03125</v>
      </c>
      <c r="E133" s="219">
        <v>2.0312</v>
      </c>
    </row>
    <row r="134" spans="1:5" ht="12.75">
      <c r="A134" s="217">
        <v>2.5</v>
      </c>
      <c r="B134" s="79" t="s">
        <v>542</v>
      </c>
      <c r="C134" s="216">
        <v>4</v>
      </c>
      <c r="D134" s="218">
        <v>2.25</v>
      </c>
      <c r="E134" s="219">
        <v>2.25</v>
      </c>
    </row>
    <row r="135" spans="1:5" ht="12.75">
      <c r="A135" s="217">
        <v>2.75</v>
      </c>
      <c r="B135" s="79" t="s">
        <v>542</v>
      </c>
      <c r="C135" s="216">
        <v>4</v>
      </c>
      <c r="D135" s="218">
        <v>2.5</v>
      </c>
      <c r="E135" s="219">
        <v>2.5</v>
      </c>
    </row>
    <row r="136" spans="1:5" ht="12.75">
      <c r="A136" s="217">
        <v>3</v>
      </c>
      <c r="B136" s="79" t="s">
        <v>542</v>
      </c>
      <c r="C136" s="216">
        <v>4</v>
      </c>
      <c r="D136" s="218">
        <v>2.75</v>
      </c>
      <c r="E136" s="219">
        <v>2.75</v>
      </c>
    </row>
    <row r="137" spans="1:5" ht="12.75">
      <c r="A137" s="217">
        <v>3.25</v>
      </c>
      <c r="B137" s="79" t="s">
        <v>542</v>
      </c>
      <c r="C137" s="216">
        <v>4</v>
      </c>
      <c r="D137" s="218">
        <v>3</v>
      </c>
      <c r="E137" s="219">
        <v>3</v>
      </c>
    </row>
    <row r="138" spans="1:5" ht="12.75">
      <c r="A138" s="217">
        <v>3.5</v>
      </c>
      <c r="B138" s="79" t="s">
        <v>542</v>
      </c>
      <c r="C138" s="216">
        <v>4</v>
      </c>
      <c r="D138" s="218">
        <v>3.25</v>
      </c>
      <c r="E138" s="219">
        <v>3.25</v>
      </c>
    </row>
    <row r="139" spans="1:5" ht="12.75">
      <c r="A139" s="217">
        <v>3.75</v>
      </c>
      <c r="B139" s="79" t="s">
        <v>542</v>
      </c>
      <c r="C139" s="216">
        <v>4</v>
      </c>
      <c r="D139" s="218">
        <v>3.5</v>
      </c>
      <c r="E139" s="219">
        <v>3.5</v>
      </c>
    </row>
    <row r="140" spans="1:5" ht="12.75">
      <c r="A140" s="217">
        <v>4</v>
      </c>
      <c r="B140" s="79" t="s">
        <v>542</v>
      </c>
      <c r="C140" s="216">
        <v>4</v>
      </c>
      <c r="D140" s="218">
        <v>3.75</v>
      </c>
      <c r="E140" s="219">
        <v>3.75</v>
      </c>
    </row>
    <row r="141" spans="1:5" ht="12.75">
      <c r="A141" s="223"/>
      <c r="B141" s="20"/>
      <c r="C141" s="192"/>
      <c r="D141" s="224"/>
      <c r="E141" s="225"/>
    </row>
    <row r="142" spans="1:5" ht="12.75">
      <c r="A142" s="227" t="s">
        <v>533</v>
      </c>
      <c r="B142" s="79" t="s">
        <v>714</v>
      </c>
      <c r="C142" s="79" t="s">
        <v>721</v>
      </c>
      <c r="D142" s="227" t="s">
        <v>722</v>
      </c>
      <c r="E142" s="228" t="s">
        <v>723</v>
      </c>
    </row>
    <row r="143" spans="1:5" ht="12.75">
      <c r="A143" s="61" t="s">
        <v>683</v>
      </c>
      <c r="B143" s="229">
        <v>0.4</v>
      </c>
      <c r="C143" s="219">
        <v>0.0787</v>
      </c>
      <c r="D143" s="229">
        <v>1.6</v>
      </c>
      <c r="E143" s="219">
        <v>0.063</v>
      </c>
    </row>
    <row r="144" spans="1:5" ht="12.75">
      <c r="A144" s="61" t="s">
        <v>709</v>
      </c>
      <c r="B144" s="229">
        <v>0.4</v>
      </c>
      <c r="C144" s="219">
        <v>0.0895</v>
      </c>
      <c r="D144" s="229">
        <v>1.9</v>
      </c>
      <c r="E144" s="219">
        <v>0.0748</v>
      </c>
    </row>
    <row r="145" spans="1:5" ht="12.75">
      <c r="A145" s="61" t="s">
        <v>710</v>
      </c>
      <c r="B145" s="229">
        <v>0.45</v>
      </c>
      <c r="C145" s="219">
        <v>0.1124</v>
      </c>
      <c r="D145" s="229">
        <v>2.1</v>
      </c>
      <c r="E145" s="219">
        <v>0.0827</v>
      </c>
    </row>
    <row r="146" spans="1:5" ht="12.75">
      <c r="A146" s="61" t="s">
        <v>684</v>
      </c>
      <c r="B146" s="229">
        <v>0.5</v>
      </c>
      <c r="C146" s="219">
        <v>0.1181</v>
      </c>
      <c r="D146" s="229">
        <v>2.5</v>
      </c>
      <c r="E146" s="219">
        <v>0.0984</v>
      </c>
    </row>
    <row r="147" spans="1:5" ht="12.75">
      <c r="A147" s="61" t="s">
        <v>706</v>
      </c>
      <c r="B147" s="229">
        <v>0.6</v>
      </c>
      <c r="C147" s="219">
        <v>0.1378</v>
      </c>
      <c r="D147" s="229">
        <v>2.9</v>
      </c>
      <c r="E147" s="219">
        <v>0.1142</v>
      </c>
    </row>
    <row r="148" spans="1:5" ht="12.75">
      <c r="A148" s="61" t="s">
        <v>685</v>
      </c>
      <c r="B148" s="229">
        <v>0.7</v>
      </c>
      <c r="C148" s="219">
        <v>0.1575</v>
      </c>
      <c r="D148" s="229">
        <v>3.3</v>
      </c>
      <c r="E148" s="219">
        <v>0.1299</v>
      </c>
    </row>
    <row r="149" spans="1:5" ht="12.75">
      <c r="A149" s="61" t="s">
        <v>707</v>
      </c>
      <c r="B149" s="229">
        <v>0.75</v>
      </c>
      <c r="C149" s="219">
        <v>0.1772</v>
      </c>
      <c r="D149" s="229">
        <v>3.75</v>
      </c>
      <c r="E149" s="219">
        <v>0.1476</v>
      </c>
    </row>
    <row r="150" spans="1:5" ht="12.75">
      <c r="A150" s="61" t="s">
        <v>686</v>
      </c>
      <c r="B150" s="229">
        <v>0.8</v>
      </c>
      <c r="C150" s="219">
        <v>0.1968</v>
      </c>
      <c r="D150" s="229">
        <v>4.2</v>
      </c>
      <c r="E150" s="219">
        <v>0.1653</v>
      </c>
    </row>
    <row r="151" spans="1:5" ht="12.75">
      <c r="A151" s="61" t="s">
        <v>708</v>
      </c>
      <c r="B151" s="229">
        <v>0.9</v>
      </c>
      <c r="C151" s="219">
        <v>0.2165</v>
      </c>
      <c r="D151" s="229">
        <v>4.6</v>
      </c>
      <c r="E151" s="219">
        <v>0.1811</v>
      </c>
    </row>
    <row r="152" spans="1:5" ht="12.75">
      <c r="A152" s="61" t="s">
        <v>687</v>
      </c>
      <c r="B152" s="229">
        <v>1</v>
      </c>
      <c r="C152" s="219">
        <v>0.2362</v>
      </c>
      <c r="D152" s="229">
        <v>5</v>
      </c>
      <c r="E152" s="219">
        <v>0.1968</v>
      </c>
    </row>
    <row r="153" spans="1:5" ht="12.75">
      <c r="A153" s="61" t="s">
        <v>688</v>
      </c>
      <c r="B153" s="229">
        <v>1</v>
      </c>
      <c r="C153" s="219">
        <v>0.2856</v>
      </c>
      <c r="D153" s="229">
        <v>6</v>
      </c>
      <c r="E153" s="219">
        <v>0.2362</v>
      </c>
    </row>
    <row r="154" spans="1:5" ht="12.75">
      <c r="A154" s="61" t="s">
        <v>689</v>
      </c>
      <c r="B154" s="229">
        <v>1.25</v>
      </c>
      <c r="C154" s="219">
        <v>0.315</v>
      </c>
      <c r="D154" s="229">
        <v>6.8</v>
      </c>
      <c r="E154" s="219">
        <v>0.2677</v>
      </c>
    </row>
    <row r="155" spans="1:5" ht="12.75">
      <c r="A155" s="61" t="s">
        <v>690</v>
      </c>
      <c r="B155" s="229">
        <v>1.25</v>
      </c>
      <c r="C155" s="219">
        <v>0.3543</v>
      </c>
      <c r="D155" s="229">
        <v>7.8</v>
      </c>
      <c r="E155" s="219">
        <v>0.3071</v>
      </c>
    </row>
    <row r="156" spans="1:5" ht="12.75">
      <c r="A156" s="61" t="s">
        <v>691</v>
      </c>
      <c r="B156" s="229">
        <v>1.5</v>
      </c>
      <c r="C156" s="219">
        <v>0.3937</v>
      </c>
      <c r="D156" s="229">
        <v>8.6</v>
      </c>
      <c r="E156" s="219">
        <v>0.3386</v>
      </c>
    </row>
    <row r="157" spans="1:5" ht="12.75">
      <c r="A157" s="61" t="s">
        <v>692</v>
      </c>
      <c r="B157" s="229">
        <v>1.5</v>
      </c>
      <c r="C157" s="219">
        <v>0.3937</v>
      </c>
      <c r="D157" s="229">
        <v>9.6</v>
      </c>
      <c r="E157" s="219">
        <v>0.378</v>
      </c>
    </row>
    <row r="158" spans="1:5" ht="12.75">
      <c r="A158" s="61" t="s">
        <v>693</v>
      </c>
      <c r="B158" s="229">
        <v>1.75</v>
      </c>
      <c r="C158" s="219">
        <v>0.4624</v>
      </c>
      <c r="D158" s="229">
        <v>10.5</v>
      </c>
      <c r="E158" s="219">
        <v>0.4134</v>
      </c>
    </row>
    <row r="159" spans="1:5" ht="12.75">
      <c r="A159" s="61" t="s">
        <v>694</v>
      </c>
      <c r="B159" s="229">
        <v>2</v>
      </c>
      <c r="C159" s="219">
        <v>0.5512</v>
      </c>
      <c r="D159" s="229">
        <v>12</v>
      </c>
      <c r="E159" s="219">
        <v>0.4724</v>
      </c>
    </row>
    <row r="160" spans="1:5" ht="12.75">
      <c r="A160" s="61" t="s">
        <v>695</v>
      </c>
      <c r="B160" s="229">
        <v>2</v>
      </c>
      <c r="C160" s="219">
        <v>0.6299</v>
      </c>
      <c r="D160" s="229">
        <v>14</v>
      </c>
      <c r="E160" s="219">
        <v>0.5118</v>
      </c>
    </row>
    <row r="161" spans="1:5" ht="12.75">
      <c r="A161" s="61" t="s">
        <v>696</v>
      </c>
      <c r="B161" s="229">
        <v>2.5</v>
      </c>
      <c r="C161" s="219">
        <v>0.7087</v>
      </c>
      <c r="D161" s="229">
        <v>15.5</v>
      </c>
      <c r="E161" s="219">
        <v>0.6102</v>
      </c>
    </row>
    <row r="162" spans="1:5" ht="12.75">
      <c r="A162" s="61" t="s">
        <v>697</v>
      </c>
      <c r="B162" s="229">
        <v>2.5</v>
      </c>
      <c r="C162" s="219">
        <v>0.7974</v>
      </c>
      <c r="D162" s="229">
        <v>17.5</v>
      </c>
      <c r="E162" s="219">
        <v>0.689</v>
      </c>
    </row>
    <row r="163" spans="1:5" ht="12.75">
      <c r="A163" s="61" t="s">
        <v>698</v>
      </c>
      <c r="B163" s="229">
        <v>2.5</v>
      </c>
      <c r="C163" s="219">
        <v>0.8771</v>
      </c>
      <c r="D163" s="229">
        <v>19.5</v>
      </c>
      <c r="E163" s="219">
        <v>0.7677</v>
      </c>
    </row>
    <row r="164" spans="1:5" ht="12.75">
      <c r="A164" s="61" t="s">
        <v>699</v>
      </c>
      <c r="B164" s="229">
        <v>3</v>
      </c>
      <c r="C164" s="219">
        <v>0.9449</v>
      </c>
      <c r="D164" s="229">
        <v>21</v>
      </c>
      <c r="E164" s="219">
        <v>0.8268</v>
      </c>
    </row>
    <row r="165" spans="1:5" ht="12.75">
      <c r="A165" s="61" t="s">
        <v>700</v>
      </c>
      <c r="B165" s="229">
        <v>3</v>
      </c>
      <c r="C165" s="219">
        <v>1.063</v>
      </c>
      <c r="D165" s="229">
        <v>24</v>
      </c>
      <c r="E165" s="219">
        <v>0.9449</v>
      </c>
    </row>
    <row r="166" spans="1:5" ht="12.75">
      <c r="A166" s="61" t="s">
        <v>701</v>
      </c>
      <c r="B166" s="229">
        <v>3.5</v>
      </c>
      <c r="C166" s="219">
        <v>1.1811</v>
      </c>
      <c r="D166" s="229">
        <v>26.5</v>
      </c>
      <c r="E166" s="219">
        <v>1.0433</v>
      </c>
    </row>
    <row r="167" spans="1:5" ht="12.75">
      <c r="A167" s="61" t="s">
        <v>702</v>
      </c>
      <c r="B167" s="229">
        <v>3.5</v>
      </c>
      <c r="C167" s="219">
        <v>1.2992</v>
      </c>
      <c r="D167" s="229">
        <v>29.5</v>
      </c>
      <c r="E167" s="219">
        <v>1.1614</v>
      </c>
    </row>
    <row r="168" spans="1:5" ht="12.75">
      <c r="A168" s="61" t="s">
        <v>703</v>
      </c>
      <c r="B168" s="229">
        <v>4</v>
      </c>
      <c r="C168" s="219">
        <v>1.4173</v>
      </c>
      <c r="D168" s="229">
        <v>32</v>
      </c>
      <c r="E168" s="219">
        <v>1.2598</v>
      </c>
    </row>
    <row r="169" spans="1:5" ht="12.75">
      <c r="A169" s="61" t="s">
        <v>704</v>
      </c>
      <c r="B169" s="229">
        <v>4</v>
      </c>
      <c r="C169" s="219">
        <v>1.5354</v>
      </c>
      <c r="D169" s="229">
        <v>35</v>
      </c>
      <c r="E169" s="219">
        <v>1.3779</v>
      </c>
    </row>
    <row r="170" spans="1:5" ht="12.75">
      <c r="A170" s="61" t="s">
        <v>705</v>
      </c>
      <c r="B170" s="229">
        <v>4.5</v>
      </c>
      <c r="C170" s="219">
        <v>1.5748</v>
      </c>
      <c r="D170" s="229">
        <v>37</v>
      </c>
      <c r="E170" s="219">
        <v>1.4567</v>
      </c>
    </row>
  </sheetData>
  <mergeCells count="16">
    <mergeCell ref="A40:H40"/>
    <mergeCell ref="A48:H48"/>
    <mergeCell ref="H8:I8"/>
    <mergeCell ref="H7:I7"/>
    <mergeCell ref="A12:H12"/>
    <mergeCell ref="A26:H26"/>
    <mergeCell ref="I3:J3"/>
    <mergeCell ref="I4:J4"/>
    <mergeCell ref="A10:H10"/>
    <mergeCell ref="A2:H2"/>
    <mergeCell ref="D4:E4"/>
    <mergeCell ref="B5:C5"/>
    <mergeCell ref="A6:H6"/>
    <mergeCell ref="D8:E8"/>
    <mergeCell ref="F4:H4"/>
    <mergeCell ref="D3:E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2:L98"/>
  <sheetViews>
    <sheetView zoomScale="75" zoomScaleNormal="75" workbookViewId="0" topLeftCell="A54">
      <selection activeCell="A94" sqref="A94"/>
    </sheetView>
  </sheetViews>
  <sheetFormatPr defaultColWidth="9.140625" defaultRowHeight="12.75"/>
  <sheetData>
    <row r="2" spans="1:12" ht="30">
      <c r="A2" s="266" t="s">
        <v>271</v>
      </c>
      <c r="B2" s="266"/>
      <c r="C2" s="266"/>
      <c r="D2" s="266"/>
      <c r="E2" s="266"/>
      <c r="F2" s="266"/>
      <c r="G2" s="266"/>
      <c r="H2" s="266"/>
      <c r="I2" s="266"/>
      <c r="J2" s="266"/>
      <c r="K2" s="266"/>
      <c r="L2" s="266"/>
    </row>
    <row r="4" ht="23.25">
      <c r="F4" s="91" t="s">
        <v>232</v>
      </c>
    </row>
    <row r="5" ht="23.25">
      <c r="F5" s="91"/>
    </row>
    <row r="6" spans="1:6" ht="23.25">
      <c r="A6" s="30" t="s">
        <v>499</v>
      </c>
      <c r="F6" s="91"/>
    </row>
    <row r="8" spans="1:12" ht="23.25">
      <c r="A8" s="265" t="s">
        <v>233</v>
      </c>
      <c r="B8" s="265"/>
      <c r="C8" s="265"/>
      <c r="D8" s="265"/>
      <c r="E8" s="265"/>
      <c r="F8" s="265"/>
      <c r="G8" s="265"/>
      <c r="H8" s="265"/>
      <c r="I8" s="265"/>
      <c r="J8" s="265"/>
      <c r="K8" s="265"/>
      <c r="L8" s="265"/>
    </row>
    <row r="10" spans="1:6" ht="12.75">
      <c r="A10" s="90" t="s">
        <v>487</v>
      </c>
      <c r="F10" s="90" t="s">
        <v>488</v>
      </c>
    </row>
    <row r="11" ht="12.75">
      <c r="A11" s="90"/>
    </row>
    <row r="12" spans="1:6" ht="12.75">
      <c r="A12" s="30" t="s">
        <v>23</v>
      </c>
      <c r="F12" s="30" t="s">
        <v>22</v>
      </c>
    </row>
    <row r="13" ht="12.75">
      <c r="A13" s="90"/>
    </row>
    <row r="14" spans="1:6" ht="12.75">
      <c r="A14" s="30" t="s">
        <v>245</v>
      </c>
      <c r="F14" s="30" t="s">
        <v>21</v>
      </c>
    </row>
    <row r="15" ht="12.75">
      <c r="A15" s="30"/>
    </row>
    <row r="16" spans="1:6" ht="12.75">
      <c r="A16" s="30" t="s">
        <v>243</v>
      </c>
      <c r="F16" s="30" t="s">
        <v>244</v>
      </c>
    </row>
    <row r="17" ht="12.75">
      <c r="A17" s="30"/>
    </row>
    <row r="18" ht="12.75">
      <c r="A18" s="30" t="s">
        <v>24</v>
      </c>
    </row>
    <row r="19" ht="12.75">
      <c r="A19" s="30"/>
    </row>
    <row r="20" spans="1:12" ht="23.25">
      <c r="A20" s="265" t="s">
        <v>234</v>
      </c>
      <c r="B20" s="265"/>
      <c r="C20" s="265"/>
      <c r="D20" s="265"/>
      <c r="E20" s="265"/>
      <c r="F20" s="265"/>
      <c r="G20" s="265"/>
      <c r="H20" s="265"/>
      <c r="I20" s="265"/>
      <c r="J20" s="265"/>
      <c r="K20" s="265"/>
      <c r="L20" s="265"/>
    </row>
    <row r="22" spans="1:6" ht="12.75">
      <c r="A22" s="30" t="s">
        <v>247</v>
      </c>
      <c r="F22" s="30" t="s">
        <v>248</v>
      </c>
    </row>
    <row r="24" spans="1:6" ht="12.75">
      <c r="A24" s="30" t="s">
        <v>35</v>
      </c>
      <c r="F24" s="90" t="s">
        <v>545</v>
      </c>
    </row>
    <row r="26" spans="1:6" ht="12.75">
      <c r="A26" s="30" t="s">
        <v>249</v>
      </c>
      <c r="F26" s="30" t="s">
        <v>45</v>
      </c>
    </row>
    <row r="28" spans="1:6" ht="12.75">
      <c r="A28" s="30" t="s">
        <v>49</v>
      </c>
      <c r="F28" s="30" t="s">
        <v>246</v>
      </c>
    </row>
    <row r="30" spans="1:6" ht="12.75">
      <c r="A30" s="30" t="s">
        <v>41</v>
      </c>
      <c r="F30" s="30" t="s">
        <v>38</v>
      </c>
    </row>
    <row r="33" spans="1:12" ht="23.25">
      <c r="A33" s="265" t="s">
        <v>235</v>
      </c>
      <c r="B33" s="265"/>
      <c r="C33" s="265"/>
      <c r="D33" s="265"/>
      <c r="E33" s="265"/>
      <c r="F33" s="265"/>
      <c r="G33" s="265"/>
      <c r="H33" s="265"/>
      <c r="I33" s="265"/>
      <c r="J33" s="265"/>
      <c r="K33" s="265"/>
      <c r="L33" s="265"/>
    </row>
    <row r="35" spans="1:6" ht="12.75">
      <c r="A35" s="30" t="s">
        <v>57</v>
      </c>
      <c r="F35" s="30" t="s">
        <v>56</v>
      </c>
    </row>
    <row r="37" ht="12.75">
      <c r="A37" s="30" t="s">
        <v>55</v>
      </c>
    </row>
    <row r="38" ht="12.75">
      <c r="F38" s="30" t="s">
        <v>54</v>
      </c>
    </row>
    <row r="39" ht="12.75">
      <c r="A39" s="30" t="s">
        <v>59</v>
      </c>
    </row>
    <row r="41" spans="1:12" ht="23.25">
      <c r="A41" s="265" t="s">
        <v>236</v>
      </c>
      <c r="B41" s="265"/>
      <c r="C41" s="265"/>
      <c r="D41" s="265"/>
      <c r="E41" s="265"/>
      <c r="F41" s="265"/>
      <c r="G41" s="265"/>
      <c r="H41" s="265"/>
      <c r="I41" s="265"/>
      <c r="J41" s="265"/>
      <c r="K41" s="265"/>
      <c r="L41" s="265"/>
    </row>
    <row r="43" spans="1:6" ht="12.75">
      <c r="A43" s="30" t="s">
        <v>255</v>
      </c>
      <c r="F43" s="30" t="s">
        <v>250</v>
      </c>
    </row>
    <row r="45" spans="1:6" ht="12.75">
      <c r="A45" s="30" t="s">
        <v>251</v>
      </c>
      <c r="F45" s="90" t="s">
        <v>546</v>
      </c>
    </row>
    <row r="47" spans="1:6" ht="12.75">
      <c r="A47" s="30" t="s">
        <v>252</v>
      </c>
      <c r="F47" s="30" t="s">
        <v>254</v>
      </c>
    </row>
    <row r="49" ht="12.75">
      <c r="A49" s="30" t="s">
        <v>253</v>
      </c>
    </row>
    <row r="51" spans="1:12" ht="23.25">
      <c r="A51" s="265" t="s">
        <v>237</v>
      </c>
      <c r="B51" s="265"/>
      <c r="C51" s="265"/>
      <c r="D51" s="265"/>
      <c r="E51" s="265"/>
      <c r="F51" s="265"/>
      <c r="G51" s="265"/>
      <c r="H51" s="265"/>
      <c r="I51" s="265"/>
      <c r="J51" s="265"/>
      <c r="K51" s="265"/>
      <c r="L51" s="265"/>
    </row>
    <row r="53" spans="1:6" ht="12.75">
      <c r="A53" s="30" t="s">
        <v>74</v>
      </c>
      <c r="F53" s="30" t="s">
        <v>81</v>
      </c>
    </row>
    <row r="55" spans="1:6" ht="12.75">
      <c r="A55" s="30" t="s">
        <v>256</v>
      </c>
      <c r="F55" s="30" t="s">
        <v>71</v>
      </c>
    </row>
    <row r="57" spans="1:6" ht="12.75">
      <c r="A57" s="30" t="s">
        <v>90</v>
      </c>
      <c r="F57" s="30" t="s">
        <v>68</v>
      </c>
    </row>
    <row r="60" spans="1:12" ht="23.25">
      <c r="A60" s="265" t="s">
        <v>238</v>
      </c>
      <c r="B60" s="265"/>
      <c r="C60" s="265"/>
      <c r="D60" s="265"/>
      <c r="E60" s="265"/>
      <c r="F60" s="265"/>
      <c r="G60" s="265"/>
      <c r="H60" s="265"/>
      <c r="I60" s="265"/>
      <c r="J60" s="265"/>
      <c r="K60" s="265"/>
      <c r="L60" s="265"/>
    </row>
    <row r="62" spans="1:6" ht="12.75">
      <c r="A62" s="30" t="s">
        <v>100</v>
      </c>
      <c r="F62" s="30" t="s">
        <v>257</v>
      </c>
    </row>
    <row r="64" spans="1:6" ht="12.75">
      <c r="A64" s="30" t="s">
        <v>259</v>
      </c>
      <c r="F64" s="30" t="s">
        <v>122</v>
      </c>
    </row>
    <row r="66" spans="1:6" ht="12.75">
      <c r="A66" s="30" t="s">
        <v>258</v>
      </c>
      <c r="F66" s="30" t="s">
        <v>116</v>
      </c>
    </row>
    <row r="68" ht="12.75">
      <c r="A68" s="30" t="s">
        <v>260</v>
      </c>
    </row>
    <row r="70" spans="1:12" ht="23.25">
      <c r="A70" s="265" t="s">
        <v>498</v>
      </c>
      <c r="B70" s="265"/>
      <c r="C70" s="265"/>
      <c r="D70" s="265"/>
      <c r="E70" s="265"/>
      <c r="F70" s="265"/>
      <c r="G70" s="265"/>
      <c r="H70" s="265"/>
      <c r="I70" s="265"/>
      <c r="J70" s="265"/>
      <c r="K70" s="265"/>
      <c r="L70" s="265"/>
    </row>
    <row r="71" ht="12.75">
      <c r="A71" s="31"/>
    </row>
    <row r="72" spans="1:12" ht="23.25">
      <c r="A72" s="265" t="s">
        <v>239</v>
      </c>
      <c r="B72" s="265"/>
      <c r="C72" s="265"/>
      <c r="D72" s="265"/>
      <c r="E72" s="265"/>
      <c r="F72" s="265"/>
      <c r="G72" s="265"/>
      <c r="H72" s="265"/>
      <c r="I72" s="265"/>
      <c r="J72" s="265"/>
      <c r="K72" s="265"/>
      <c r="L72" s="265"/>
    </row>
    <row r="74" spans="1:6" ht="12.75">
      <c r="A74" s="30" t="s">
        <v>262</v>
      </c>
      <c r="F74" s="30" t="s">
        <v>261</v>
      </c>
    </row>
    <row r="76" ht="12.75">
      <c r="A76" s="30" t="s">
        <v>139</v>
      </c>
    </row>
    <row r="78" spans="1:12" ht="23.25">
      <c r="A78" s="265" t="s">
        <v>240</v>
      </c>
      <c r="B78" s="265"/>
      <c r="C78" s="265"/>
      <c r="D78" s="265"/>
      <c r="E78" s="265"/>
      <c r="F78" s="265"/>
      <c r="G78" s="265"/>
      <c r="H78" s="265"/>
      <c r="I78" s="265"/>
      <c r="J78" s="265"/>
      <c r="K78" s="265"/>
      <c r="L78" s="265"/>
    </row>
    <row r="80" spans="1:6" ht="12.75">
      <c r="A80" s="30" t="s">
        <v>179</v>
      </c>
      <c r="F80" s="30" t="s">
        <v>265</v>
      </c>
    </row>
    <row r="82" spans="1:6" ht="12.75">
      <c r="A82" s="30" t="s">
        <v>266</v>
      </c>
      <c r="F82" s="30" t="s">
        <v>264</v>
      </c>
    </row>
    <row r="84" spans="1:6" ht="12.75">
      <c r="A84" s="30" t="s">
        <v>263</v>
      </c>
      <c r="F84" s="90" t="s">
        <v>547</v>
      </c>
    </row>
    <row r="86" ht="12.75">
      <c r="A86" s="30" t="s">
        <v>149</v>
      </c>
    </row>
    <row r="88" spans="1:12" ht="23.25">
      <c r="A88" s="265" t="s">
        <v>241</v>
      </c>
      <c r="B88" s="265"/>
      <c r="C88" s="265"/>
      <c r="D88" s="265"/>
      <c r="E88" s="265"/>
      <c r="F88" s="265"/>
      <c r="G88" s="265"/>
      <c r="H88" s="265"/>
      <c r="I88" s="265"/>
      <c r="J88" s="265"/>
      <c r="K88" s="265"/>
      <c r="L88" s="265"/>
    </row>
    <row r="90" spans="1:6" ht="12.75">
      <c r="A90" s="30" t="s">
        <v>268</v>
      </c>
      <c r="F90" s="30" t="s">
        <v>269</v>
      </c>
    </row>
    <row r="92" spans="1:6" ht="12.75">
      <c r="A92" s="30" t="s">
        <v>198</v>
      </c>
      <c r="F92" s="30" t="s">
        <v>267</v>
      </c>
    </row>
    <row r="94" ht="12.75">
      <c r="A94" s="30" t="s">
        <v>270</v>
      </c>
    </row>
    <row r="96" spans="1:12" ht="23.25">
      <c r="A96" s="265" t="s">
        <v>242</v>
      </c>
      <c r="B96" s="265"/>
      <c r="C96" s="265"/>
      <c r="D96" s="265"/>
      <c r="E96" s="265"/>
      <c r="F96" s="265"/>
      <c r="G96" s="265"/>
      <c r="H96" s="265"/>
      <c r="I96" s="265"/>
      <c r="J96" s="265"/>
      <c r="K96" s="265"/>
      <c r="L96" s="265"/>
    </row>
    <row r="98" ht="12.75">
      <c r="A98" s="30" t="s">
        <v>200</v>
      </c>
    </row>
  </sheetData>
  <mergeCells count="12">
    <mergeCell ref="A72:L72"/>
    <mergeCell ref="A78:L78"/>
    <mergeCell ref="A88:L88"/>
    <mergeCell ref="A96:L96"/>
    <mergeCell ref="A41:L41"/>
    <mergeCell ref="A51:L51"/>
    <mergeCell ref="A60:L60"/>
    <mergeCell ref="A70:L70"/>
    <mergeCell ref="A20:L20"/>
    <mergeCell ref="A8:L8"/>
    <mergeCell ref="A33:L33"/>
    <mergeCell ref="A2:L2"/>
  </mergeCells>
  <hyperlinks>
    <hyperlink ref="F4" location="'Base Data'!A1" display="'Base Data'!A1"/>
    <hyperlink ref="A8" location="'Engine Formulas'!A1" display="'Engine Formulas'!A1"/>
    <hyperlink ref="A20" location="'Chassis Formulas'!A1" display="'Chassis Formulas'!A1"/>
    <hyperlink ref="A33" location="'Braking Formulas'!A1" display="'Braking Formulas'!A1"/>
    <hyperlink ref="A41" location="'Quarter mile formulas'!A1" display="'Quarter mile formulas'!A1"/>
    <hyperlink ref="A51" location="'Shifting and gearing Formulas'!A1" display="'Shifting and gearing Formulas'!A1"/>
    <hyperlink ref="A60" location="'Electrical Formulas'!A1" display="'Electrical Formulas'!A1"/>
    <hyperlink ref="A70" location="'Wire size selection'!A1" display="'Wire size selection'!A1"/>
    <hyperlink ref="A72" location="'Instrument calibration'!A1" display="'Instrument calibration'!A1"/>
    <hyperlink ref="A78" location="'average MPH and MPG'!A1" display="'average MPH and MPG'!A1"/>
    <hyperlink ref="A88" location="'Tire size formulas'!A1" display="'Tire size formulas'!A1"/>
    <hyperlink ref="A96" location="'Shop Formulas'!A1" display="'Shop Formulas'!A1"/>
    <hyperlink ref="A16" location="Displacement_using_metric_measurements" display="Displacement_using_metric_measurements"/>
    <hyperlink ref="F16" location="Engine_air_capacity__Volumetric_efficiency_at_RPM_of_highest_torque" display="Engine_air_capacity__Volumetric_efficiency_at_RPM_of_highest_torque"/>
    <hyperlink ref="F10" location="Carburetor_selection__street_engine__85__Volumetric_efficiency_assumed" display="Carburetor_selection__street_engine__85__Volumetric_efficiency_assumed"/>
    <hyperlink ref="A10" location="Carburetor_selection__racing_engine__110__Volumetric_efficiency_assumed" display="Carburetor_selection__racing_engine__110__Volumetric_efficiency_assumed"/>
    <hyperlink ref="F14" location="Deck_Height_displacement" display="Deck_Height_displacement"/>
    <hyperlink ref="A14" location="Cylinder_Displacement" display="Cylinder_Displacement"/>
    <hyperlink ref="F12" location="Compression_Ratio" display="Compression_Ratio"/>
    <hyperlink ref="A12" location="Compression_Ratio" display="Compression_Ratio"/>
    <hyperlink ref="A18" location="Spark_rate" display="Spark_rate"/>
    <hyperlink ref="F24" location="Front_Rear_weight_distribution" display="Front_Rear_weight_distribution"/>
    <hyperlink ref="F28" location="Left_Right_weight_distribution" display="Left_Right_weight_distribution"/>
    <hyperlink ref="A22" location="Center_of_Gravity_horizontal_position__lengthways" display="Center_of_Gravity_horizontal_position__lengthways"/>
    <hyperlink ref="F22" location="Center_of_Gravity_sideways_location" display="Center_of_Gravity_sideways_location"/>
    <hyperlink ref="A24" location="Drive_wheel_torque" display="Drive_wheel_torque"/>
    <hyperlink ref="F30" location="Wheel_thrust" display="Wheel_thrust"/>
    <hyperlink ref="A26" location="g_Force__forward_acceleration" display="g_Force__forward_acceleration"/>
    <hyperlink ref="A30" location="Weight_transfer" display="Weight_transfer"/>
    <hyperlink ref="F26" location="Lateral_acceleration" display="Lateral_acceleration"/>
    <hyperlink ref="A28" location="Lateral_weight_transfer" display="Lateral_weight_transfer"/>
    <hyperlink ref="F38" location="Piston_Area" display="Piston_Area"/>
    <hyperlink ref="A37" location="Hydraulic_pressure" display="Hydraulic_pressure"/>
    <hyperlink ref="F35" location="Force_multiplication" display="Force_multiplication"/>
    <hyperlink ref="A35" location="Fluid_displacement" display="Fluid_displacement"/>
    <hyperlink ref="A39" location="Piston_movement" display="Piston_movement"/>
    <hyperlink ref="F43" location="Elapsed_time" display="Elapsed_time"/>
    <hyperlink ref="F45" location="Power_or_Weight_from_ET" display="Power_or_Weight_from_ET"/>
    <hyperlink ref="A45" location="Miles_Per_Hour" display="Miles_Per_Hour"/>
    <hyperlink ref="A47" location="Power_or_Weight_from_MPH" display="Power_or_Weight_from_MPH"/>
    <hyperlink ref="A49" location="Automatic_Transmissions" display="Automatic_Transmissions"/>
    <hyperlink ref="F47" location="Manual_Transmissions" display="Manual_Transmissions"/>
    <hyperlink ref="A43" location="Automatic_Transmissions" display="Automatic_Transmissions"/>
    <hyperlink ref="A53" location="Change_in_RPM_when_shifting" display="Change_in_RPM_when_shifting"/>
    <hyperlink ref="F53" location="Driveshaft_torque__not_for_VW_s" display="Driveshaft_torque__not_for_VW_s"/>
    <hyperlink ref="A55" location="Miles_per_hour_in_each_gear_at_a_given_RPM__shift_points" display="Miles_per_hour_in_each_gear_at_a_given_RPM__shift_points"/>
    <hyperlink ref="A57" location="RPM_at_a_given_MPH" display="RPM_at_a_given_MPH"/>
    <hyperlink ref="F55" location="Overall_Gear_ratio__required_to_attain_a_desired_RPM_at_a_given_MPH" display="Overall_Gear_ratio__required_to_attain_a_desired_RPM_at_a_given_MPH"/>
    <hyperlink ref="F57" location="Tire_Diameter__effects_of_changing_tire_diameter" display="Tire_Diameter__effects_of_changing_tire_diameter"/>
    <hyperlink ref="F62" location="Ohms_law" display="Ohms_law"/>
    <hyperlink ref="A62" location="Basic_circuit_analysis" display="Basic_circuit_analysis"/>
    <hyperlink ref="A66" location="Basic_circuit_analysis" display="Basic_circuit_analysis"/>
    <hyperlink ref="A64" location="Parallel_circuit__I.E._headlights" display="Parallel_circuit__I.E._headlights"/>
    <hyperlink ref="A68" location="Voltage_drop_across_a_device__with_more_than_one_device_in_a_series_system" display="Voltage_drop_across_a_device__with_more_than_one_device_in_a_series_system"/>
    <hyperlink ref="F66" location="System_current_in_a_parallel_circuit" display="System_current_in_a_parallel_circuit"/>
    <hyperlink ref="F64" location="Power__electrical" display="Power__electrical"/>
    <hyperlink ref="F74" location="Speedometer_Check" display="Speedometer_Check"/>
    <hyperlink ref="A74" location="Odometer_error__5_measured_mile_test" display="Odometer_error__5_measured_mile_test"/>
    <hyperlink ref="A76" location="Speedometer_error_percentage" display="Speedometer_error_percentage"/>
    <hyperlink ref="A86" location="Miles_per_gallon" display="Miles_per_gallon"/>
    <hyperlink ref="A84" location="Fuel_Range" display="Fuel_Range"/>
    <hyperlink ref="F82" location="Predicting_fuel_consumption" display="Predicting_fuel_consumption"/>
    <hyperlink ref="F80" location="Miles_per_hour__Average" display="Miles_per_hour__Average"/>
    <hyperlink ref="A82" location="Distance_travelled" display="Distance_travelled"/>
    <hyperlink ref="A80" location="Miles_per_hour__average_lap_speed" display="Miles_per_hour__average_lap_speed"/>
    <hyperlink ref="F84" location="Lap_time_required_for_a_desired_average_speed" display="Lap_time_required_for_a_desired_average_speed"/>
    <hyperlink ref="F92" location="Translating_Metric_tire_sizes" display="Translating_Metric_tire_sizes"/>
    <hyperlink ref="A90" location="Effective_drive_ratio_caused_by_tire_change" display="Effective_drive_ratio_caused_by_tire_change"/>
    <hyperlink ref="F90" location="Equivalent_drive_ratio__to_bring_back_stock_performance_after_a_tire_size_change" display="Equivalent_drive_ratio__to_bring_back_stock_performance_after_a_tire_size_change"/>
    <hyperlink ref="A94" location="Speedometer_correction_after_tire_changes" display="Speedometer_correction_after_tire_changes"/>
    <hyperlink ref="A92" location="Indicated_speed_Vs._actual_speed" display="Indicated_speed_Vs._actual_speed"/>
    <hyperlink ref="A98" location="Conversion_formulas" display="Conversion_formulas"/>
    <hyperlink ref="A6" location="Case_identifier" display="Case_identifier"/>
  </hyperlinks>
  <printOptions/>
  <pageMargins left="0.75" right="0.75" top="1" bottom="1" header="0.5" footer="0.5"/>
  <pageSetup horizontalDpi="300" verticalDpi="300" orientation="landscape" r:id="rId1"/>
</worksheet>
</file>

<file path=xl/worksheets/sheet20.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9.140625" defaultRowHeight="12.75"/>
  <sheetData>
    <row r="2" spans="1:10" ht="12.75">
      <c r="A2" s="386" t="s">
        <v>591</v>
      </c>
      <c r="B2" s="386"/>
      <c r="C2" s="386"/>
      <c r="D2" s="386"/>
      <c r="E2" s="386"/>
      <c r="F2" s="386"/>
      <c r="G2" s="386"/>
      <c r="H2" s="386"/>
      <c r="I2" s="386"/>
      <c r="J2" s="386"/>
    </row>
    <row r="3" spans="1:10" ht="12.75">
      <c r="A3" s="304" t="s">
        <v>590</v>
      </c>
      <c r="B3" s="304"/>
      <c r="C3" s="304"/>
      <c r="D3" s="304"/>
      <c r="E3" s="304"/>
      <c r="F3" s="304"/>
      <c r="G3" s="304"/>
      <c r="H3" s="304"/>
      <c r="I3" s="304"/>
      <c r="J3" s="304"/>
    </row>
    <row r="4" ht="12.75">
      <c r="A4" s="5"/>
    </row>
    <row r="5" spans="1:9" ht="12.75">
      <c r="A5" s="386" t="s">
        <v>592</v>
      </c>
      <c r="B5" s="386"/>
      <c r="C5" s="386"/>
      <c r="D5" s="386"/>
      <c r="E5" s="386"/>
      <c r="F5" s="386"/>
      <c r="G5" s="386"/>
      <c r="H5" s="386"/>
      <c r="I5" s="386"/>
    </row>
    <row r="6" spans="1:9" ht="12.75">
      <c r="A6" s="304" t="s">
        <v>593</v>
      </c>
      <c r="B6" s="304"/>
      <c r="C6" s="304"/>
      <c r="D6" s="304"/>
      <c r="E6" s="304"/>
      <c r="F6" s="304"/>
      <c r="G6" s="304"/>
      <c r="H6" s="304"/>
      <c r="I6" s="304"/>
    </row>
    <row r="8" spans="1:10" ht="12.75">
      <c r="A8" s="386" t="s">
        <v>569</v>
      </c>
      <c r="B8" s="386"/>
      <c r="C8" s="386"/>
      <c r="D8" s="386"/>
      <c r="E8" s="386"/>
      <c r="F8" s="386"/>
      <c r="G8" s="386"/>
      <c r="H8" s="386"/>
      <c r="I8" s="386"/>
      <c r="J8" s="386"/>
    </row>
    <row r="9" spans="1:8" ht="12.75">
      <c r="A9" s="304" t="s">
        <v>568</v>
      </c>
      <c r="B9" s="304"/>
      <c r="C9" s="304"/>
      <c r="D9" s="304"/>
      <c r="E9" s="304"/>
      <c r="F9" s="304"/>
      <c r="G9" s="304"/>
      <c r="H9" s="304"/>
    </row>
    <row r="11" ht="12.75">
      <c r="A11" s="5" t="s">
        <v>938</v>
      </c>
    </row>
    <row r="12" ht="12.75">
      <c r="C12" t="s">
        <v>725</v>
      </c>
    </row>
    <row r="14" ht="12.75">
      <c r="A14" s="5" t="s">
        <v>940</v>
      </c>
    </row>
    <row r="15" ht="12.75">
      <c r="C15" t="s">
        <v>939</v>
      </c>
    </row>
  </sheetData>
  <mergeCells count="6">
    <mergeCell ref="A9:H9"/>
    <mergeCell ref="A6:I6"/>
    <mergeCell ref="A2:J2"/>
    <mergeCell ref="A3:J3"/>
    <mergeCell ref="A5:I5"/>
    <mergeCell ref="A8:J8"/>
  </mergeCells>
  <printOptions/>
  <pageMargins left="0.75" right="0.75" top="1" bottom="1" header="0.5" footer="0.5"/>
  <pageSetup horizontalDpi="200" verticalDpi="200" orientation="portrait" r:id="rId1"/>
</worksheet>
</file>

<file path=xl/worksheets/sheet21.xml><?xml version="1.0" encoding="utf-8"?>
<worksheet xmlns="http://schemas.openxmlformats.org/spreadsheetml/2006/main" xmlns:r="http://schemas.openxmlformats.org/officeDocument/2006/relationships">
  <sheetPr codeName="Sheet1"/>
  <dimension ref="A1:I20"/>
  <sheetViews>
    <sheetView workbookViewId="0" topLeftCell="A1">
      <selection activeCell="A1" sqref="A1:I2"/>
    </sheetView>
  </sheetViews>
  <sheetFormatPr defaultColWidth="9.140625" defaultRowHeight="12.75"/>
  <sheetData>
    <row r="1" spans="1:9" ht="12.75">
      <c r="A1" s="387" t="s">
        <v>631</v>
      </c>
      <c r="B1" s="387"/>
      <c r="C1" s="387"/>
      <c r="D1" s="387"/>
      <c r="E1" s="387"/>
      <c r="F1" s="387"/>
      <c r="G1" s="387"/>
      <c r="H1" s="387"/>
      <c r="I1" s="387"/>
    </row>
    <row r="2" spans="1:9" ht="12.75">
      <c r="A2" s="387"/>
      <c r="B2" s="387"/>
      <c r="C2" s="387"/>
      <c r="D2" s="387"/>
      <c r="E2" s="387"/>
      <c r="F2" s="387"/>
      <c r="G2" s="387"/>
      <c r="H2" s="387"/>
      <c r="I2" s="387"/>
    </row>
    <row r="3" spans="1:9" ht="12.75">
      <c r="A3" s="388" t="s">
        <v>632</v>
      </c>
      <c r="B3" s="389"/>
      <c r="C3" s="389"/>
      <c r="D3" s="389"/>
      <c r="E3" s="389"/>
      <c r="F3" s="389"/>
      <c r="G3" s="389"/>
      <c r="H3" s="389"/>
      <c r="I3" s="389"/>
    </row>
    <row r="4" spans="1:9" ht="12.75">
      <c r="A4" s="304"/>
      <c r="B4" s="304"/>
      <c r="C4" s="304"/>
      <c r="D4" s="304"/>
      <c r="E4" s="304"/>
      <c r="F4" s="304"/>
      <c r="G4" s="304"/>
      <c r="H4" s="304"/>
      <c r="I4" s="304"/>
    </row>
    <row r="5" spans="1:9" ht="12.75">
      <c r="A5" s="388" t="s">
        <v>633</v>
      </c>
      <c r="B5" s="389"/>
      <c r="C5" s="389"/>
      <c r="D5" s="389"/>
      <c r="E5" s="389"/>
      <c r="F5" s="389"/>
      <c r="G5" s="389"/>
      <c r="H5" s="389"/>
      <c r="I5" s="389"/>
    </row>
    <row r="6" spans="1:9" ht="12.75">
      <c r="A6" s="304"/>
      <c r="B6" s="304"/>
      <c r="C6" s="304"/>
      <c r="D6" s="304"/>
      <c r="E6" s="304"/>
      <c r="F6" s="304"/>
      <c r="G6" s="304"/>
      <c r="H6" s="304"/>
      <c r="I6" s="304"/>
    </row>
    <row r="7" spans="1:9" ht="12.75">
      <c r="A7" s="388" t="s">
        <v>634</v>
      </c>
      <c r="B7" s="389"/>
      <c r="C7" s="389"/>
      <c r="D7" s="389"/>
      <c r="E7" s="389"/>
      <c r="F7" s="389"/>
      <c r="G7" s="389"/>
      <c r="H7" s="389"/>
      <c r="I7" s="389"/>
    </row>
    <row r="8" spans="1:9" ht="12.75">
      <c r="A8" s="304"/>
      <c r="B8" s="304"/>
      <c r="C8" s="304"/>
      <c r="D8" s="304"/>
      <c r="E8" s="304"/>
      <c r="F8" s="304"/>
      <c r="G8" s="304"/>
      <c r="H8" s="304"/>
      <c r="I8" s="304"/>
    </row>
    <row r="9" spans="1:9" ht="12.75">
      <c r="A9" s="388" t="s">
        <v>635</v>
      </c>
      <c r="B9" s="389"/>
      <c r="C9" s="389"/>
      <c r="D9" s="389"/>
      <c r="E9" s="389"/>
      <c r="F9" s="389"/>
      <c r="G9" s="389"/>
      <c r="H9" s="389"/>
      <c r="I9" s="389"/>
    </row>
    <row r="10" spans="1:9" ht="12.75">
      <c r="A10" s="304"/>
      <c r="B10" s="304"/>
      <c r="C10" s="304"/>
      <c r="D10" s="304"/>
      <c r="E10" s="304"/>
      <c r="F10" s="304"/>
      <c r="G10" s="304"/>
      <c r="H10" s="304"/>
      <c r="I10" s="304"/>
    </row>
    <row r="11" spans="1:9" ht="12.75">
      <c r="A11" s="390" t="s">
        <v>636</v>
      </c>
      <c r="B11" s="390"/>
      <c r="C11" s="390"/>
      <c r="D11" s="390"/>
      <c r="E11" s="390"/>
      <c r="F11" s="390"/>
      <c r="G11" s="390"/>
      <c r="H11" s="390"/>
      <c r="I11" s="390"/>
    </row>
    <row r="12" spans="1:9" ht="12.75">
      <c r="A12" s="304"/>
      <c r="B12" s="304"/>
      <c r="C12" s="304"/>
      <c r="D12" s="304"/>
      <c r="E12" s="304"/>
      <c r="F12" s="304"/>
      <c r="G12" s="304"/>
      <c r="H12" s="304"/>
      <c r="I12" s="304"/>
    </row>
    <row r="13" spans="1:9" ht="12.75">
      <c r="A13" s="388" t="s">
        <v>637</v>
      </c>
      <c r="B13" s="389"/>
      <c r="C13" s="389"/>
      <c r="D13" s="389"/>
      <c r="E13" s="389"/>
      <c r="F13" s="389"/>
      <c r="G13" s="389"/>
      <c r="H13" s="389"/>
      <c r="I13" s="389"/>
    </row>
    <row r="14" spans="1:9" ht="12.75">
      <c r="A14" s="304"/>
      <c r="B14" s="304"/>
      <c r="C14" s="304"/>
      <c r="D14" s="304"/>
      <c r="E14" s="304"/>
      <c r="F14" s="304"/>
      <c r="G14" s="304"/>
      <c r="H14" s="304"/>
      <c r="I14" s="304"/>
    </row>
    <row r="15" spans="1:9" ht="12.75">
      <c r="A15" s="390" t="s">
        <v>638</v>
      </c>
      <c r="B15" s="390"/>
      <c r="C15" s="390"/>
      <c r="D15" s="390"/>
      <c r="E15" s="390"/>
      <c r="F15" s="390"/>
      <c r="G15" s="390"/>
      <c r="H15" s="390"/>
      <c r="I15" s="390"/>
    </row>
    <row r="16" spans="1:9" ht="12.75">
      <c r="A16" s="304"/>
      <c r="B16" s="304"/>
      <c r="C16" s="304"/>
      <c r="D16" s="304"/>
      <c r="E16" s="304"/>
      <c r="F16" s="304"/>
      <c r="G16" s="304"/>
      <c r="H16" s="304"/>
      <c r="I16" s="304"/>
    </row>
    <row r="17" spans="1:9" ht="12.75">
      <c r="A17" s="390" t="s">
        <v>937</v>
      </c>
      <c r="B17" s="390"/>
      <c r="C17" s="390"/>
      <c r="D17" s="390"/>
      <c r="E17" s="390"/>
      <c r="F17" s="390"/>
      <c r="G17" s="390"/>
      <c r="H17" s="390"/>
      <c r="I17" s="390"/>
    </row>
    <row r="18" spans="1:9" ht="12.75">
      <c r="A18" s="304"/>
      <c r="B18" s="304"/>
      <c r="C18" s="304"/>
      <c r="D18" s="304"/>
      <c r="E18" s="304"/>
      <c r="F18" s="304"/>
      <c r="G18" s="304"/>
      <c r="H18" s="304"/>
      <c r="I18" s="304"/>
    </row>
    <row r="19" spans="1:9" ht="12.75">
      <c r="A19" s="304"/>
      <c r="B19" s="304"/>
      <c r="C19" s="304"/>
      <c r="D19" s="304"/>
      <c r="E19" s="304"/>
      <c r="F19" s="304"/>
      <c r="G19" s="304"/>
      <c r="H19" s="304"/>
      <c r="I19" s="304"/>
    </row>
    <row r="20" spans="1:9" ht="12.75">
      <c r="A20" s="304"/>
      <c r="B20" s="304"/>
      <c r="C20" s="304"/>
      <c r="D20" s="304"/>
      <c r="E20" s="304"/>
      <c r="F20" s="304"/>
      <c r="G20" s="304"/>
      <c r="H20" s="304"/>
      <c r="I20" s="304"/>
    </row>
  </sheetData>
  <mergeCells count="19">
    <mergeCell ref="A8:I8"/>
    <mergeCell ref="A3:I3"/>
    <mergeCell ref="A7:I7"/>
    <mergeCell ref="A9:I9"/>
    <mergeCell ref="A4:I4"/>
    <mergeCell ref="A10:I10"/>
    <mergeCell ref="A12:I12"/>
    <mergeCell ref="A13:I13"/>
    <mergeCell ref="A11:I11"/>
    <mergeCell ref="A1:I2"/>
    <mergeCell ref="A18:I18"/>
    <mergeCell ref="A19:I19"/>
    <mergeCell ref="A20:I20"/>
    <mergeCell ref="A5:I5"/>
    <mergeCell ref="A6:I6"/>
    <mergeCell ref="A14:I14"/>
    <mergeCell ref="A15:I15"/>
    <mergeCell ref="A16:I16"/>
    <mergeCell ref="A17:I17"/>
  </mergeCells>
  <hyperlinks>
    <hyperlink ref="A3:I3" r:id="rId1" display="http://www.berkley.com/search/index.htm"/>
    <hyperlink ref="A5:I5" r:id="rId2" display="http://www.berkley.com/search/index.htm"/>
    <hyperlink ref="A7:I7" r:id="rId3" display="http://www.berkley.com/search/index.htm"/>
    <hyperlink ref="A9:I9" r:id="rId4" display="http://www.berkley.com/search/index.htm"/>
    <hyperlink ref="A13:I13" r:id="rId5" display="http://hotvws.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2:M141"/>
  <sheetViews>
    <sheetView zoomScale="75" zoomScaleNormal="75" workbookViewId="0" topLeftCell="A1">
      <selection activeCell="A1" sqref="A1"/>
    </sheetView>
  </sheetViews>
  <sheetFormatPr defaultColWidth="9.140625" defaultRowHeight="12.75"/>
  <cols>
    <col min="1" max="1" width="9.140625" style="13" customWidth="1"/>
    <col min="2" max="2" width="10.7109375" style="0" customWidth="1"/>
    <col min="4" max="4" width="10.28125" style="0" bestFit="1" customWidth="1"/>
    <col min="5" max="5" width="13.421875" style="0" customWidth="1"/>
    <col min="6" max="6" width="13.8515625" style="0" customWidth="1"/>
    <col min="7" max="7" width="20.421875" style="0" bestFit="1" customWidth="1"/>
    <col min="8" max="8" width="20.140625" style="0" customWidth="1"/>
    <col min="12" max="12" width="9.140625" style="17" customWidth="1"/>
  </cols>
  <sheetData>
    <row r="1" ht="12.75"/>
    <row r="2" ht="12.75">
      <c r="A2" s="12" t="s">
        <v>0</v>
      </c>
    </row>
    <row r="3" ht="13.5" thickBot="1">
      <c r="A3" s="12"/>
    </row>
    <row r="4" spans="1:13" ht="12.75">
      <c r="A4" s="164" t="s">
        <v>555</v>
      </c>
      <c r="B4" s="158"/>
      <c r="C4" s="158"/>
      <c r="D4" s="158"/>
      <c r="E4" s="158"/>
      <c r="F4" s="158"/>
      <c r="G4" s="158"/>
      <c r="H4" s="158"/>
      <c r="I4" s="158"/>
      <c r="J4" s="158"/>
      <c r="K4" s="158"/>
      <c r="L4" s="158"/>
      <c r="M4" s="159"/>
    </row>
    <row r="5" spans="1:13" ht="12.75">
      <c r="A5" s="165"/>
      <c r="B5" s="17"/>
      <c r="C5" s="17"/>
      <c r="D5" s="17"/>
      <c r="E5" s="17"/>
      <c r="F5" s="17"/>
      <c r="G5" s="17"/>
      <c r="H5" s="17"/>
      <c r="I5" s="17"/>
      <c r="J5" s="17"/>
      <c r="K5" s="17"/>
      <c r="M5" s="160"/>
    </row>
    <row r="6" spans="1:13" ht="13.5" thickBot="1">
      <c r="A6" s="166" t="s">
        <v>304</v>
      </c>
      <c r="B6" s="104"/>
      <c r="C6" s="58" t="s">
        <v>305</v>
      </c>
      <c r="D6" s="59" t="s">
        <v>306</v>
      </c>
      <c r="E6" s="37" t="s">
        <v>307</v>
      </c>
      <c r="F6" s="131" t="s">
        <v>347</v>
      </c>
      <c r="G6" s="131" t="s">
        <v>65</v>
      </c>
      <c r="H6" s="131" t="s">
        <v>348</v>
      </c>
      <c r="I6" s="35" t="s">
        <v>308</v>
      </c>
      <c r="J6" s="35"/>
      <c r="K6" s="35"/>
      <c r="L6" s="35"/>
      <c r="M6" s="36"/>
    </row>
    <row r="7" spans="1:13" ht="13.5" thickBot="1">
      <c r="A7" s="167" t="s">
        <v>659</v>
      </c>
      <c r="B7" s="161"/>
      <c r="C7" s="53" t="str">
        <f>VLOOKUP(A7,A102:H202,3,FALSE)</f>
        <v>Type 3</v>
      </c>
      <c r="D7" s="57" t="str">
        <f>VLOOKUP(A7,A102:H202,2,FALSE)</f>
        <v>68 - 69</v>
      </c>
      <c r="E7" s="57">
        <f>VLOOKUP(A7,A102:H202,4,FALSE)</f>
        <v>1600</v>
      </c>
      <c r="F7" s="53">
        <f>VLOOKUP(A7,A102:H202,5,FALSE)</f>
        <v>7.7</v>
      </c>
      <c r="G7" s="53" t="str">
        <f>VLOOKUP(A7,A102:H202,6,FALSE)</f>
        <v>65 @ 4600 RPM</v>
      </c>
      <c r="H7" s="53" t="str">
        <f>VLOOKUP(A7,A102:H202,7,FALSE)</f>
        <v>87 Ft. Lb. @ 2800 RPM</v>
      </c>
      <c r="I7" s="56" t="str">
        <f>VLOOKUP(A7,A102:H202,8,FALSE)</f>
        <v>Fuel injected; '69 w/ crossmember holes, '70 dual-relief</v>
      </c>
      <c r="J7" s="54"/>
      <c r="K7" s="54"/>
      <c r="L7" s="54"/>
      <c r="M7" s="55"/>
    </row>
    <row r="8" ht="13.5" thickBot="1"/>
    <row r="9" spans="1:12" ht="12.75">
      <c r="A9" s="164" t="s">
        <v>303</v>
      </c>
      <c r="B9" s="158"/>
      <c r="C9" s="158"/>
      <c r="D9" s="158"/>
      <c r="E9" s="158"/>
      <c r="F9" s="158"/>
      <c r="G9" s="158"/>
      <c r="H9" s="158"/>
      <c r="I9" s="158"/>
      <c r="J9" s="158"/>
      <c r="K9" s="158"/>
      <c r="L9" s="159"/>
    </row>
    <row r="10" spans="1:12" ht="13.5" thickBot="1">
      <c r="A10" s="165"/>
      <c r="B10" s="17"/>
      <c r="C10" s="17"/>
      <c r="D10" s="17"/>
      <c r="E10" s="17"/>
      <c r="F10" s="17"/>
      <c r="G10" s="17"/>
      <c r="H10" s="17"/>
      <c r="I10" s="17"/>
      <c r="J10" s="17"/>
      <c r="K10" s="17"/>
      <c r="L10" s="160"/>
    </row>
    <row r="11" spans="1:12" ht="13.5" thickBot="1">
      <c r="A11" s="168" t="s">
        <v>288</v>
      </c>
      <c r="B11" s="14"/>
      <c r="C11" s="17"/>
      <c r="D11" s="17"/>
      <c r="E11" s="17"/>
      <c r="F11" s="17"/>
      <c r="G11" s="19">
        <v>4</v>
      </c>
      <c r="H11" s="108" t="s">
        <v>11</v>
      </c>
      <c r="I11" s="17"/>
      <c r="J11" s="17"/>
      <c r="K11" s="169" t="s">
        <v>565</v>
      </c>
      <c r="L11" s="160"/>
    </row>
    <row r="12" spans="1:12" ht="13.5" thickBot="1">
      <c r="A12" s="170"/>
      <c r="B12" s="17"/>
      <c r="C12" s="17"/>
      <c r="D12" s="17"/>
      <c r="E12" s="17"/>
      <c r="F12" s="17"/>
      <c r="G12" s="17"/>
      <c r="H12" s="17"/>
      <c r="I12" s="10">
        <f>PRODUCT(0.7853982,G15,G11)*(G13^2)/1000</f>
        <v>2017</v>
      </c>
      <c r="J12" s="17"/>
      <c r="K12" s="120">
        <f>I12/1000*61.023744</f>
        <v>123.084891648</v>
      </c>
      <c r="L12" s="160"/>
    </row>
    <row r="13" spans="1:12" ht="13.5" thickBot="1">
      <c r="A13" s="171" t="s">
        <v>556</v>
      </c>
      <c r="B13" s="15"/>
      <c r="C13" s="14"/>
      <c r="D13" s="17"/>
      <c r="E13" s="17"/>
      <c r="F13" s="17"/>
      <c r="G13" s="19">
        <v>90.5</v>
      </c>
      <c r="H13" s="17"/>
      <c r="I13" s="17"/>
      <c r="J13" s="17"/>
      <c r="K13" s="17"/>
      <c r="L13" s="160"/>
    </row>
    <row r="14" spans="1:12" ht="13.5" thickBot="1">
      <c r="A14" s="170"/>
      <c r="B14" s="17"/>
      <c r="C14" s="17"/>
      <c r="D14" s="17"/>
      <c r="E14" s="17"/>
      <c r="F14" s="17"/>
      <c r="G14" s="17"/>
      <c r="H14" s="17"/>
      <c r="I14" s="17"/>
      <c r="J14" s="17"/>
      <c r="K14" s="17"/>
      <c r="L14" s="160"/>
    </row>
    <row r="15" spans="1:12" ht="13.5" thickBot="1">
      <c r="A15" s="171" t="s">
        <v>557</v>
      </c>
      <c r="B15" s="15"/>
      <c r="C15" s="15"/>
      <c r="D15" s="14"/>
      <c r="E15" s="17"/>
      <c r="F15" s="17"/>
      <c r="G15" s="19">
        <v>78.4</v>
      </c>
      <c r="H15" s="17"/>
      <c r="I15" s="17"/>
      <c r="J15" s="17"/>
      <c r="K15" s="17"/>
      <c r="L15" s="160"/>
    </row>
    <row r="16" spans="1:12" s="7" customFormat="1" ht="13.5" thickBot="1">
      <c r="A16" s="208"/>
      <c r="B16" s="42"/>
      <c r="C16" s="42"/>
      <c r="D16" s="42"/>
      <c r="E16" s="42"/>
      <c r="F16" s="42"/>
      <c r="G16" s="42"/>
      <c r="H16" s="42"/>
      <c r="I16" s="42"/>
      <c r="J16" s="42"/>
      <c r="K16" s="42"/>
      <c r="L16" s="209"/>
    </row>
    <row r="17" spans="1:12" ht="13.5" thickBot="1">
      <c r="A17" s="210" t="s">
        <v>656</v>
      </c>
      <c r="B17" s="15"/>
      <c r="C17" s="14"/>
      <c r="D17" s="42"/>
      <c r="E17" s="17"/>
      <c r="F17" s="17"/>
      <c r="G17" s="19">
        <v>137</v>
      </c>
      <c r="H17" s="17"/>
      <c r="I17" s="17"/>
      <c r="J17" s="17"/>
      <c r="K17" s="17"/>
      <c r="L17" s="160"/>
    </row>
    <row r="18" spans="1:12" ht="13.5" thickBot="1">
      <c r="A18" s="170"/>
      <c r="B18" s="17"/>
      <c r="C18" s="17"/>
      <c r="D18" s="17"/>
      <c r="E18" s="17"/>
      <c r="F18" s="17"/>
      <c r="G18" s="17"/>
      <c r="H18" s="17"/>
      <c r="I18" s="17"/>
      <c r="J18" s="17"/>
      <c r="K18" s="17"/>
      <c r="L18" s="160"/>
    </row>
    <row r="19" spans="1:12" ht="13.5" thickBot="1">
      <c r="A19" s="172" t="s">
        <v>558</v>
      </c>
      <c r="B19" s="14"/>
      <c r="C19" s="15"/>
      <c r="D19" s="15"/>
      <c r="E19" s="15"/>
      <c r="F19" s="14"/>
      <c r="G19" s="105">
        <v>1.25</v>
      </c>
      <c r="H19" s="17"/>
      <c r="I19" s="17"/>
      <c r="J19" s="17"/>
      <c r="K19" s="17"/>
      <c r="L19" s="160"/>
    </row>
    <row r="20" spans="1:12" ht="13.5" thickBot="1">
      <c r="A20" s="170"/>
      <c r="B20" s="17"/>
      <c r="C20" s="17"/>
      <c r="D20" s="17"/>
      <c r="E20" s="17"/>
      <c r="F20" s="17"/>
      <c r="G20" s="17"/>
      <c r="H20" s="17"/>
      <c r="I20" s="17"/>
      <c r="J20" s="17"/>
      <c r="K20" s="17"/>
      <c r="L20" s="160"/>
    </row>
    <row r="21" spans="1:12" ht="13.5" thickBot="1">
      <c r="A21" s="172" t="s">
        <v>559</v>
      </c>
      <c r="B21" s="15"/>
      <c r="C21" s="14"/>
      <c r="D21" s="15"/>
      <c r="E21" s="14"/>
      <c r="F21" s="17"/>
      <c r="G21" s="19">
        <v>40</v>
      </c>
      <c r="H21" s="17"/>
      <c r="I21" s="17"/>
      <c r="J21" s="17"/>
      <c r="K21" s="17"/>
      <c r="L21" s="160"/>
    </row>
    <row r="22" spans="1:12" ht="13.5" thickBot="1">
      <c r="A22" s="170"/>
      <c r="B22" s="17"/>
      <c r="C22" s="17"/>
      <c r="D22" s="17"/>
      <c r="E22" s="17"/>
      <c r="F22" s="17"/>
      <c r="G22" s="17"/>
      <c r="H22" s="17"/>
      <c r="I22" s="17"/>
      <c r="J22" s="17"/>
      <c r="K22" s="17"/>
      <c r="L22" s="160"/>
    </row>
    <row r="23" spans="1:12" ht="13.5" thickBot="1">
      <c r="A23" s="173" t="s">
        <v>560</v>
      </c>
      <c r="B23" s="174"/>
      <c r="C23" s="175"/>
      <c r="D23" s="175"/>
      <c r="E23" s="174"/>
      <c r="F23" s="161"/>
      <c r="G23" s="19">
        <v>87</v>
      </c>
      <c r="H23" s="176" t="s">
        <v>503</v>
      </c>
      <c r="I23" s="19">
        <v>2800</v>
      </c>
      <c r="J23" s="177" t="s">
        <v>15</v>
      </c>
      <c r="K23" s="161"/>
      <c r="L23" s="178"/>
    </row>
    <row r="24" ht="13.5" thickBot="1"/>
    <row r="25" spans="1:7" ht="12.75">
      <c r="A25" s="164" t="s">
        <v>6</v>
      </c>
      <c r="B25" s="158"/>
      <c r="C25" s="158"/>
      <c r="D25" s="158"/>
      <c r="E25" s="158"/>
      <c r="F25" s="158"/>
      <c r="G25" s="159"/>
    </row>
    <row r="26" spans="1:7" ht="13.5" thickBot="1">
      <c r="A26" s="170"/>
      <c r="B26" s="17"/>
      <c r="C26" s="17"/>
      <c r="D26" s="17"/>
      <c r="E26" s="17"/>
      <c r="F26" s="17"/>
      <c r="G26" s="160"/>
    </row>
    <row r="27" spans="1:7" ht="13.5" thickBot="1">
      <c r="A27" s="172" t="s">
        <v>7</v>
      </c>
      <c r="B27" s="14"/>
      <c r="C27" s="17"/>
      <c r="D27" s="17"/>
      <c r="E27" s="17"/>
      <c r="F27" s="17"/>
      <c r="G27" s="19">
        <v>3292</v>
      </c>
    </row>
    <row r="28" spans="1:7" ht="13.5" thickBot="1">
      <c r="A28" s="170"/>
      <c r="B28" s="17"/>
      <c r="C28" s="17"/>
      <c r="D28" s="17"/>
      <c r="E28" s="17"/>
      <c r="F28" s="17"/>
      <c r="G28" s="160"/>
    </row>
    <row r="29" spans="1:7" ht="13.5" thickBot="1">
      <c r="A29" s="172" t="s">
        <v>561</v>
      </c>
      <c r="B29" s="14"/>
      <c r="C29" s="15"/>
      <c r="D29" s="15"/>
      <c r="E29" s="14"/>
      <c r="F29" s="17"/>
      <c r="G29" s="19">
        <v>102</v>
      </c>
    </row>
    <row r="30" spans="1:7" ht="13.5" thickBot="1">
      <c r="A30" s="170"/>
      <c r="B30" s="17"/>
      <c r="C30" s="17"/>
      <c r="D30" s="17"/>
      <c r="E30" s="17"/>
      <c r="F30" s="17"/>
      <c r="G30" s="160"/>
    </row>
    <row r="31" spans="1:7" ht="13.5" thickBot="1">
      <c r="A31" s="179" t="s">
        <v>562</v>
      </c>
      <c r="B31" s="15"/>
      <c r="C31" s="15"/>
      <c r="D31" s="15"/>
      <c r="E31" s="14"/>
      <c r="F31" s="17"/>
      <c r="G31" s="19">
        <v>60</v>
      </c>
    </row>
    <row r="32" spans="1:7" ht="13.5" thickBot="1">
      <c r="A32" s="170"/>
      <c r="B32" s="17"/>
      <c r="C32" s="17"/>
      <c r="D32" s="17"/>
      <c r="E32" s="17"/>
      <c r="F32" s="17"/>
      <c r="G32" s="160"/>
    </row>
    <row r="33" spans="1:7" ht="13.5" thickBot="1">
      <c r="A33" s="180" t="s">
        <v>563</v>
      </c>
      <c r="B33" s="106"/>
      <c r="C33" s="106"/>
      <c r="D33" s="106"/>
      <c r="E33" s="106"/>
      <c r="F33" s="107"/>
      <c r="G33" s="105">
        <v>25</v>
      </c>
    </row>
    <row r="34" spans="1:7" ht="13.5" thickBot="1">
      <c r="A34" s="181" t="s">
        <v>564</v>
      </c>
      <c r="B34" s="182"/>
      <c r="C34" s="182"/>
      <c r="D34" s="182"/>
      <c r="E34" s="182"/>
      <c r="F34" s="183"/>
      <c r="G34" s="178"/>
    </row>
    <row r="101" spans="1:12" s="4" customFormat="1" ht="12.75">
      <c r="A101" s="79" t="s">
        <v>309</v>
      </c>
      <c r="B101" s="79" t="s">
        <v>310</v>
      </c>
      <c r="C101" s="79" t="s">
        <v>306</v>
      </c>
      <c r="D101" s="79" t="s">
        <v>311</v>
      </c>
      <c r="E101" s="79" t="s">
        <v>347</v>
      </c>
      <c r="F101" s="79" t="s">
        <v>60</v>
      </c>
      <c r="G101" s="79" t="s">
        <v>348</v>
      </c>
      <c r="H101" s="79" t="s">
        <v>308</v>
      </c>
      <c r="I101" s="79"/>
      <c r="J101" s="79"/>
      <c r="K101" s="79"/>
      <c r="L101" s="80"/>
    </row>
    <row r="102" spans="1:12" ht="12.75">
      <c r="A102" s="75">
        <v>4</v>
      </c>
      <c r="B102" s="75">
        <v>60</v>
      </c>
      <c r="C102" s="75" t="s">
        <v>313</v>
      </c>
      <c r="D102" s="75">
        <v>1200</v>
      </c>
      <c r="E102" s="75"/>
      <c r="F102" s="61"/>
      <c r="G102" s="61"/>
      <c r="H102" s="76" t="s">
        <v>312</v>
      </c>
      <c r="I102" s="61"/>
      <c r="J102" s="61"/>
      <c r="K102" s="61"/>
      <c r="L102" s="66"/>
    </row>
    <row r="103" spans="1:12" ht="12.75">
      <c r="A103" s="75">
        <v>5</v>
      </c>
      <c r="B103" s="75">
        <v>61</v>
      </c>
      <c r="C103" s="75" t="s">
        <v>313</v>
      </c>
      <c r="D103" s="75">
        <v>1200</v>
      </c>
      <c r="E103" s="75"/>
      <c r="F103" s="61"/>
      <c r="G103" s="61"/>
      <c r="H103" s="76" t="s">
        <v>312</v>
      </c>
      <c r="I103" s="61"/>
      <c r="J103" s="61"/>
      <c r="K103" s="61"/>
      <c r="L103" s="66"/>
    </row>
    <row r="104" spans="1:12" ht="12.75">
      <c r="A104" s="75">
        <v>6</v>
      </c>
      <c r="B104" s="75">
        <v>62</v>
      </c>
      <c r="C104" s="75" t="s">
        <v>313</v>
      </c>
      <c r="D104" s="75">
        <v>1200</v>
      </c>
      <c r="E104" s="75"/>
      <c r="F104" s="61"/>
      <c r="G104" s="61"/>
      <c r="H104" s="76" t="s">
        <v>312</v>
      </c>
      <c r="I104" s="61"/>
      <c r="J104" s="61"/>
      <c r="K104" s="61"/>
      <c r="L104" s="66"/>
    </row>
    <row r="105" spans="1:12" ht="12.75">
      <c r="A105" s="75">
        <v>7</v>
      </c>
      <c r="B105" s="75">
        <v>63</v>
      </c>
      <c r="C105" s="75" t="s">
        <v>313</v>
      </c>
      <c r="D105" s="75">
        <v>1200</v>
      </c>
      <c r="E105" s="75"/>
      <c r="F105" s="61"/>
      <c r="G105" s="61"/>
      <c r="H105" s="76" t="s">
        <v>312</v>
      </c>
      <c r="I105" s="61"/>
      <c r="J105" s="61"/>
      <c r="K105" s="61"/>
      <c r="L105" s="66"/>
    </row>
    <row r="106" spans="1:12" ht="12.75">
      <c r="A106" s="75">
        <v>8</v>
      </c>
      <c r="B106" s="75">
        <v>64</v>
      </c>
      <c r="C106" s="75" t="s">
        <v>313</v>
      </c>
      <c r="D106" s="75">
        <v>1200</v>
      </c>
      <c r="E106" s="75"/>
      <c r="F106" s="61"/>
      <c r="G106" s="61"/>
      <c r="H106" s="76" t="s">
        <v>312</v>
      </c>
      <c r="I106" s="61"/>
      <c r="J106" s="61"/>
      <c r="K106" s="61"/>
      <c r="L106" s="66"/>
    </row>
    <row r="107" spans="1:12" ht="12.75">
      <c r="A107" s="75">
        <v>9</v>
      </c>
      <c r="B107" s="75">
        <v>65</v>
      </c>
      <c r="C107" s="75" t="s">
        <v>313</v>
      </c>
      <c r="D107" s="75">
        <v>1200</v>
      </c>
      <c r="E107" s="75"/>
      <c r="F107" s="61"/>
      <c r="G107" s="61"/>
      <c r="H107" s="76" t="s">
        <v>312</v>
      </c>
      <c r="I107" s="61"/>
      <c r="J107" s="61"/>
      <c r="K107" s="61"/>
      <c r="L107" s="66"/>
    </row>
    <row r="108" spans="1:12" ht="12.75">
      <c r="A108" s="75" t="s">
        <v>314</v>
      </c>
      <c r="B108" s="75">
        <v>66</v>
      </c>
      <c r="C108" s="75" t="s">
        <v>313</v>
      </c>
      <c r="D108" s="75">
        <v>1300</v>
      </c>
      <c r="E108" s="75">
        <v>7.3</v>
      </c>
      <c r="F108" s="61" t="s">
        <v>396</v>
      </c>
      <c r="G108" s="61" t="s">
        <v>399</v>
      </c>
      <c r="H108" s="76" t="s">
        <v>325</v>
      </c>
      <c r="I108" s="61"/>
      <c r="J108" s="61"/>
      <c r="K108" s="61"/>
      <c r="L108" s="66"/>
    </row>
    <row r="109" spans="1:12" ht="12.75">
      <c r="A109" s="75" t="s">
        <v>315</v>
      </c>
      <c r="B109" s="75">
        <v>67</v>
      </c>
      <c r="C109" s="75" t="s">
        <v>313</v>
      </c>
      <c r="D109" s="75">
        <v>1500</v>
      </c>
      <c r="E109" s="75">
        <v>7.5</v>
      </c>
      <c r="F109" s="61" t="s">
        <v>397</v>
      </c>
      <c r="G109" s="61" t="s">
        <v>398</v>
      </c>
      <c r="H109" s="76" t="s">
        <v>325</v>
      </c>
      <c r="I109" s="61"/>
      <c r="J109" s="61"/>
      <c r="K109" s="61"/>
      <c r="L109" s="66"/>
    </row>
    <row r="110" spans="1:12" ht="12.75">
      <c r="A110" s="75" t="s">
        <v>316</v>
      </c>
      <c r="B110" s="75">
        <v>67</v>
      </c>
      <c r="C110" s="75" t="s">
        <v>313</v>
      </c>
      <c r="D110" s="75">
        <v>1500</v>
      </c>
      <c r="E110" s="75"/>
      <c r="F110" s="61"/>
      <c r="G110" s="61"/>
      <c r="H110" s="76" t="s">
        <v>325</v>
      </c>
      <c r="I110" s="61"/>
      <c r="J110" s="61"/>
      <c r="K110" s="61"/>
      <c r="L110" s="66"/>
    </row>
    <row r="111" spans="1:12" ht="12.75">
      <c r="A111" s="75" t="s">
        <v>317</v>
      </c>
      <c r="B111" s="75" t="s">
        <v>322</v>
      </c>
      <c r="C111" s="75" t="s">
        <v>313</v>
      </c>
      <c r="D111" s="75">
        <v>1500</v>
      </c>
      <c r="E111" s="75">
        <v>7.5</v>
      </c>
      <c r="F111" s="61" t="s">
        <v>397</v>
      </c>
      <c r="G111" s="61" t="s">
        <v>398</v>
      </c>
      <c r="H111" s="76" t="s">
        <v>325</v>
      </c>
      <c r="I111" s="61"/>
      <c r="J111" s="61"/>
      <c r="K111" s="61"/>
      <c r="L111" s="66"/>
    </row>
    <row r="112" spans="1:12" ht="12.75">
      <c r="A112" s="75" t="s">
        <v>318</v>
      </c>
      <c r="B112" s="75">
        <v>70</v>
      </c>
      <c r="C112" s="75" t="s">
        <v>313</v>
      </c>
      <c r="D112" s="75">
        <v>1600</v>
      </c>
      <c r="E112" s="75">
        <v>7.5</v>
      </c>
      <c r="F112" s="61" t="s">
        <v>349</v>
      </c>
      <c r="G112" s="61" t="s">
        <v>354</v>
      </c>
      <c r="H112" s="76" t="s">
        <v>326</v>
      </c>
      <c r="I112" s="61"/>
      <c r="J112" s="61"/>
      <c r="K112" s="61"/>
      <c r="L112" s="66"/>
    </row>
    <row r="113" spans="1:12" ht="12.75">
      <c r="A113" s="75" t="s">
        <v>319</v>
      </c>
      <c r="B113" s="75" t="s">
        <v>323</v>
      </c>
      <c r="C113" s="75" t="s">
        <v>313</v>
      </c>
      <c r="D113" s="75">
        <v>1600</v>
      </c>
      <c r="E113" s="75">
        <v>7.5</v>
      </c>
      <c r="F113" s="61" t="s">
        <v>353</v>
      </c>
      <c r="G113" s="61" t="s">
        <v>354</v>
      </c>
      <c r="H113" s="76" t="s">
        <v>350</v>
      </c>
      <c r="I113" s="61"/>
      <c r="J113" s="61"/>
      <c r="K113" s="61"/>
      <c r="L113" s="66"/>
    </row>
    <row r="114" spans="1:12" ht="12.75">
      <c r="A114" s="75" t="s">
        <v>320</v>
      </c>
      <c r="B114" s="75" t="s">
        <v>324</v>
      </c>
      <c r="C114" s="75" t="s">
        <v>313</v>
      </c>
      <c r="D114" s="75">
        <v>1600</v>
      </c>
      <c r="E114" s="75">
        <v>7.3</v>
      </c>
      <c r="F114" s="61" t="s">
        <v>351</v>
      </c>
      <c r="G114" s="61" t="s">
        <v>355</v>
      </c>
      <c r="H114" s="76" t="s">
        <v>327</v>
      </c>
      <c r="I114" s="61"/>
      <c r="J114" s="61"/>
      <c r="K114" s="61"/>
      <c r="L114" s="66"/>
    </row>
    <row r="115" spans="1:12" ht="12.75">
      <c r="A115" s="75" t="s">
        <v>321</v>
      </c>
      <c r="B115" s="75">
        <v>75</v>
      </c>
      <c r="C115" s="75" t="s">
        <v>313</v>
      </c>
      <c r="D115" s="75">
        <v>1600</v>
      </c>
      <c r="E115" s="75">
        <v>7.3</v>
      </c>
      <c r="F115" s="61" t="s">
        <v>352</v>
      </c>
      <c r="G115" s="61" t="s">
        <v>356</v>
      </c>
      <c r="H115" s="76" t="s">
        <v>328</v>
      </c>
      <c r="I115" s="61"/>
      <c r="J115" s="61"/>
      <c r="K115" s="61"/>
      <c r="L115" s="66"/>
    </row>
    <row r="116" spans="1:12" ht="12.75">
      <c r="A116" s="75" t="s">
        <v>329</v>
      </c>
      <c r="B116" s="75"/>
      <c r="C116" s="75" t="s">
        <v>338</v>
      </c>
      <c r="D116" s="75" t="s">
        <v>339</v>
      </c>
      <c r="E116" s="75"/>
      <c r="F116" s="61"/>
      <c r="G116" s="61"/>
      <c r="H116" s="61"/>
      <c r="I116" s="61"/>
      <c r="J116" s="61"/>
      <c r="K116" s="61"/>
      <c r="L116" s="66"/>
    </row>
    <row r="117" spans="1:12" ht="12.75">
      <c r="A117" s="75" t="s">
        <v>330</v>
      </c>
      <c r="B117" s="75"/>
      <c r="C117" s="75" t="s">
        <v>338</v>
      </c>
      <c r="D117" s="75" t="s">
        <v>339</v>
      </c>
      <c r="E117" s="75"/>
      <c r="F117" s="61"/>
      <c r="G117" s="61"/>
      <c r="H117" s="61"/>
      <c r="I117" s="61"/>
      <c r="J117" s="61"/>
      <c r="K117" s="61"/>
      <c r="L117" s="66"/>
    </row>
    <row r="118" spans="1:12" ht="12.75">
      <c r="A118" s="75" t="s">
        <v>331</v>
      </c>
      <c r="B118" s="75"/>
      <c r="C118" s="75" t="s">
        <v>338</v>
      </c>
      <c r="D118" s="75"/>
      <c r="E118" s="75"/>
      <c r="F118" s="61"/>
      <c r="G118" s="61"/>
      <c r="H118" s="61" t="s">
        <v>346</v>
      </c>
      <c r="I118" s="61"/>
      <c r="J118" s="61"/>
      <c r="K118" s="61"/>
      <c r="L118" s="66"/>
    </row>
    <row r="119" spans="1:12" ht="12.75">
      <c r="A119" s="75" t="s">
        <v>332</v>
      </c>
      <c r="B119" s="75"/>
      <c r="C119" s="75" t="s">
        <v>338</v>
      </c>
      <c r="D119" s="75"/>
      <c r="E119" s="75"/>
      <c r="F119" s="61"/>
      <c r="G119" s="61"/>
      <c r="H119" s="61" t="s">
        <v>345</v>
      </c>
      <c r="I119" s="61"/>
      <c r="J119" s="61"/>
      <c r="K119" s="61"/>
      <c r="L119" s="66"/>
    </row>
    <row r="120" spans="1:12" ht="12.75">
      <c r="A120" s="75" t="s">
        <v>333</v>
      </c>
      <c r="B120" s="75" t="s">
        <v>341</v>
      </c>
      <c r="C120" s="75" t="s">
        <v>338</v>
      </c>
      <c r="D120" s="75">
        <v>1600</v>
      </c>
      <c r="E120" s="75"/>
      <c r="F120" s="61"/>
      <c r="G120" s="61"/>
      <c r="H120" s="61" t="s">
        <v>344</v>
      </c>
      <c r="I120" s="61"/>
      <c r="J120" s="61"/>
      <c r="K120" s="61"/>
      <c r="L120" s="66"/>
    </row>
    <row r="121" spans="1:12" ht="12.75">
      <c r="A121" s="75" t="s">
        <v>334</v>
      </c>
      <c r="B121" s="75"/>
      <c r="C121" s="75" t="s">
        <v>338</v>
      </c>
      <c r="D121" s="75">
        <v>1600</v>
      </c>
      <c r="E121" s="75"/>
      <c r="F121" s="61"/>
      <c r="G121" s="61"/>
      <c r="H121" s="61"/>
      <c r="I121" s="61"/>
      <c r="J121" s="61"/>
      <c r="K121" s="61"/>
      <c r="L121" s="66"/>
    </row>
    <row r="122" spans="1:12" ht="12.75">
      <c r="A122" s="75" t="s">
        <v>335</v>
      </c>
      <c r="B122" s="75" t="s">
        <v>342</v>
      </c>
      <c r="C122" s="75" t="s">
        <v>338</v>
      </c>
      <c r="D122" s="75" t="s">
        <v>340</v>
      </c>
      <c r="E122" s="75">
        <v>7.3</v>
      </c>
      <c r="F122" s="61" t="s">
        <v>351</v>
      </c>
      <c r="G122" s="61" t="s">
        <v>355</v>
      </c>
      <c r="H122" s="61"/>
      <c r="I122" s="61"/>
      <c r="J122" s="61"/>
      <c r="K122" s="61"/>
      <c r="L122" s="66"/>
    </row>
    <row r="123" spans="1:12" ht="12.75">
      <c r="A123" s="75" t="s">
        <v>336</v>
      </c>
      <c r="B123" s="75"/>
      <c r="C123" s="75" t="s">
        <v>338</v>
      </c>
      <c r="D123" s="75">
        <v>1600</v>
      </c>
      <c r="E123" s="75"/>
      <c r="F123" s="61"/>
      <c r="G123" s="61"/>
      <c r="H123" s="61"/>
      <c r="I123" s="61"/>
      <c r="J123" s="61"/>
      <c r="K123" s="61"/>
      <c r="L123" s="66"/>
    </row>
    <row r="124" spans="1:12" ht="12.75">
      <c r="A124" s="75" t="s">
        <v>337</v>
      </c>
      <c r="B124" s="75"/>
      <c r="C124" s="75" t="s">
        <v>338</v>
      </c>
      <c r="D124" s="75"/>
      <c r="E124" s="75"/>
      <c r="F124" s="61"/>
      <c r="G124" s="61"/>
      <c r="H124" s="61" t="s">
        <v>343</v>
      </c>
      <c r="I124" s="61"/>
      <c r="J124" s="61"/>
      <c r="K124" s="61"/>
      <c r="L124" s="66"/>
    </row>
    <row r="125" spans="1:12" ht="12.75">
      <c r="A125" s="75" t="s">
        <v>357</v>
      </c>
      <c r="B125" s="75">
        <v>64</v>
      </c>
      <c r="C125" s="75" t="s">
        <v>366</v>
      </c>
      <c r="D125" s="75">
        <v>1500</v>
      </c>
      <c r="E125" s="75"/>
      <c r="F125" s="61"/>
      <c r="G125" s="61"/>
      <c r="H125" s="61" t="s">
        <v>367</v>
      </c>
      <c r="I125" s="61"/>
      <c r="J125" s="61"/>
      <c r="K125" s="61"/>
      <c r="L125" s="66"/>
    </row>
    <row r="126" spans="1:12" ht="12.75">
      <c r="A126" s="75" t="s">
        <v>358</v>
      </c>
      <c r="B126" s="75">
        <v>65</v>
      </c>
      <c r="C126" s="75" t="s">
        <v>366</v>
      </c>
      <c r="D126" s="75">
        <v>1500</v>
      </c>
      <c r="E126" s="75"/>
      <c r="F126" s="61"/>
      <c r="G126" s="61"/>
      <c r="H126" s="61"/>
      <c r="I126" s="61"/>
      <c r="J126" s="61"/>
      <c r="K126" s="61"/>
      <c r="L126" s="66"/>
    </row>
    <row r="127" spans="1:12" ht="12.75">
      <c r="A127" s="75" t="s">
        <v>315</v>
      </c>
      <c r="B127" s="75" t="s">
        <v>368</v>
      </c>
      <c r="C127" s="75" t="s">
        <v>366</v>
      </c>
      <c r="D127" s="75">
        <v>1500</v>
      </c>
      <c r="E127" s="75"/>
      <c r="F127" s="61"/>
      <c r="G127" s="61"/>
      <c r="H127" s="61" t="s">
        <v>369</v>
      </c>
      <c r="I127" s="61"/>
      <c r="J127" s="61"/>
      <c r="K127" s="61"/>
      <c r="L127" s="66"/>
    </row>
    <row r="128" spans="1:12" ht="12.75">
      <c r="A128" s="75" t="s">
        <v>359</v>
      </c>
      <c r="B128" s="75" t="s">
        <v>370</v>
      </c>
      <c r="C128" s="75" t="s">
        <v>366</v>
      </c>
      <c r="D128" s="75">
        <v>1600</v>
      </c>
      <c r="E128" s="75"/>
      <c r="F128" s="61"/>
      <c r="G128" s="61"/>
      <c r="H128" s="61" t="s">
        <v>376</v>
      </c>
      <c r="I128" s="61"/>
      <c r="J128" s="61"/>
      <c r="K128" s="61"/>
      <c r="L128" s="66"/>
    </row>
    <row r="129" spans="1:12" ht="12.75">
      <c r="A129" s="75" t="s">
        <v>319</v>
      </c>
      <c r="B129" s="75">
        <v>71</v>
      </c>
      <c r="C129" s="75" t="s">
        <v>366</v>
      </c>
      <c r="D129" s="75">
        <v>1600</v>
      </c>
      <c r="E129" s="75"/>
      <c r="F129" s="61"/>
      <c r="G129" s="61"/>
      <c r="H129" s="61" t="s">
        <v>371</v>
      </c>
      <c r="I129" s="61"/>
      <c r="J129" s="61"/>
      <c r="K129" s="61"/>
      <c r="L129" s="66"/>
    </row>
    <row r="130" spans="1:12" ht="12.75">
      <c r="A130" s="75" t="s">
        <v>360</v>
      </c>
      <c r="B130" s="75" t="s">
        <v>372</v>
      </c>
      <c r="C130" s="75" t="s">
        <v>373</v>
      </c>
      <c r="D130" s="75">
        <v>1700</v>
      </c>
      <c r="E130" s="75"/>
      <c r="F130" s="61"/>
      <c r="G130" s="61"/>
      <c r="H130" s="61" t="s">
        <v>548</v>
      </c>
      <c r="I130" s="61"/>
      <c r="J130" s="61"/>
      <c r="K130" s="61"/>
      <c r="L130" s="66"/>
    </row>
    <row r="131" spans="1:12" ht="12.75">
      <c r="A131" s="75" t="s">
        <v>361</v>
      </c>
      <c r="B131" s="75">
        <v>73</v>
      </c>
      <c r="C131" s="75" t="s">
        <v>373</v>
      </c>
      <c r="D131" s="75">
        <v>1700</v>
      </c>
      <c r="E131" s="75"/>
      <c r="F131" s="61"/>
      <c r="G131" s="61"/>
      <c r="H131" s="61" t="s">
        <v>549</v>
      </c>
      <c r="I131" s="61"/>
      <c r="J131" s="61"/>
      <c r="K131" s="61"/>
      <c r="L131" s="66"/>
    </row>
    <row r="132" spans="1:12" ht="12.75">
      <c r="A132" s="75" t="s">
        <v>362</v>
      </c>
      <c r="B132" s="75" t="s">
        <v>374</v>
      </c>
      <c r="C132" s="75" t="s">
        <v>373</v>
      </c>
      <c r="D132" s="75">
        <v>1800</v>
      </c>
      <c r="E132" s="75"/>
      <c r="F132" s="61"/>
      <c r="G132" s="61"/>
      <c r="H132" s="61" t="s">
        <v>375</v>
      </c>
      <c r="I132" s="61"/>
      <c r="J132" s="61"/>
      <c r="K132" s="61"/>
      <c r="L132" s="66"/>
    </row>
    <row r="133" spans="1:12" ht="12.75">
      <c r="A133" s="75" t="s">
        <v>363</v>
      </c>
      <c r="B133" s="75">
        <v>75</v>
      </c>
      <c r="C133" s="75" t="s">
        <v>373</v>
      </c>
      <c r="D133" s="75">
        <v>2000</v>
      </c>
      <c r="E133" s="75"/>
      <c r="F133" s="61"/>
      <c r="G133" s="61"/>
      <c r="H133" s="61"/>
      <c r="I133" s="61"/>
      <c r="J133" s="61"/>
      <c r="K133" s="61"/>
      <c r="L133" s="66"/>
    </row>
    <row r="134" spans="1:12" ht="12.75">
      <c r="A134" s="75" t="s">
        <v>364</v>
      </c>
      <c r="B134" s="75" t="s">
        <v>377</v>
      </c>
      <c r="C134" s="75" t="s">
        <v>373</v>
      </c>
      <c r="D134" s="75">
        <v>2000</v>
      </c>
      <c r="E134" s="75"/>
      <c r="F134" s="61"/>
      <c r="G134" s="61"/>
      <c r="H134" s="77" t="s">
        <v>378</v>
      </c>
      <c r="I134" s="61"/>
      <c r="J134" s="61"/>
      <c r="K134" s="61"/>
      <c r="L134" s="66"/>
    </row>
    <row r="135" spans="1:12" ht="12.75">
      <c r="A135" s="75" t="s">
        <v>365</v>
      </c>
      <c r="B135" s="75">
        <v>79</v>
      </c>
      <c r="C135" s="75" t="s">
        <v>373</v>
      </c>
      <c r="D135" s="75">
        <v>2000</v>
      </c>
      <c r="E135" s="75"/>
      <c r="F135" s="61"/>
      <c r="G135" s="61"/>
      <c r="H135" s="61" t="s">
        <v>379</v>
      </c>
      <c r="I135" s="61"/>
      <c r="J135" s="61"/>
      <c r="K135" s="61"/>
      <c r="L135" s="66"/>
    </row>
    <row r="136" spans="1:12" ht="12.75">
      <c r="A136" s="75" t="s">
        <v>380</v>
      </c>
      <c r="B136" s="75" t="s">
        <v>381</v>
      </c>
      <c r="C136" s="75" t="s">
        <v>382</v>
      </c>
      <c r="D136" s="75">
        <v>2000</v>
      </c>
      <c r="E136" s="75"/>
      <c r="F136" s="61"/>
      <c r="G136" s="61"/>
      <c r="H136" s="61" t="s">
        <v>383</v>
      </c>
      <c r="I136" s="61"/>
      <c r="J136" s="61"/>
      <c r="K136" s="61"/>
      <c r="L136" s="66"/>
    </row>
    <row r="137" spans="1:12" ht="12.75">
      <c r="A137" s="75" t="s">
        <v>357</v>
      </c>
      <c r="B137" s="75" t="s">
        <v>384</v>
      </c>
      <c r="C137" s="75" t="s">
        <v>385</v>
      </c>
      <c r="D137" s="75">
        <v>1500</v>
      </c>
      <c r="E137" s="75"/>
      <c r="F137" s="61"/>
      <c r="G137" s="61"/>
      <c r="H137" s="61" t="s">
        <v>367</v>
      </c>
      <c r="I137" s="61"/>
      <c r="J137" s="61"/>
      <c r="K137" s="61"/>
      <c r="L137" s="66"/>
    </row>
    <row r="138" spans="1:12" ht="12.75">
      <c r="A138" s="75" t="s">
        <v>316</v>
      </c>
      <c r="B138" s="75" t="s">
        <v>386</v>
      </c>
      <c r="C138" s="75" t="s">
        <v>385</v>
      </c>
      <c r="D138" s="75">
        <v>1500</v>
      </c>
      <c r="E138" s="75"/>
      <c r="F138" s="61"/>
      <c r="G138" s="61"/>
      <c r="H138" s="61" t="s">
        <v>387</v>
      </c>
      <c r="I138" s="61"/>
      <c r="J138" s="61"/>
      <c r="K138" s="61"/>
      <c r="L138" s="66"/>
    </row>
    <row r="139" spans="1:12" ht="12.75">
      <c r="A139" s="75" t="s">
        <v>388</v>
      </c>
      <c r="B139" s="75" t="s">
        <v>322</v>
      </c>
      <c r="C139" s="75" t="s">
        <v>385</v>
      </c>
      <c r="D139" s="75">
        <v>1600</v>
      </c>
      <c r="E139" s="75">
        <v>7.7</v>
      </c>
      <c r="F139" s="61" t="s">
        <v>394</v>
      </c>
      <c r="G139" s="61" t="s">
        <v>395</v>
      </c>
      <c r="H139" s="61" t="s">
        <v>389</v>
      </c>
      <c r="I139" s="61"/>
      <c r="J139" s="61"/>
      <c r="K139" s="61"/>
      <c r="L139" s="66"/>
    </row>
    <row r="140" spans="1:12" ht="12.75">
      <c r="A140" s="75" t="s">
        <v>390</v>
      </c>
      <c r="B140" s="75" t="s">
        <v>391</v>
      </c>
      <c r="C140" s="75" t="s">
        <v>385</v>
      </c>
      <c r="D140" s="75">
        <v>1600</v>
      </c>
      <c r="E140" s="75">
        <v>7.7</v>
      </c>
      <c r="F140" s="61" t="s">
        <v>394</v>
      </c>
      <c r="G140" s="61" t="s">
        <v>395</v>
      </c>
      <c r="H140" s="61" t="s">
        <v>392</v>
      </c>
      <c r="I140" s="61"/>
      <c r="J140" s="61"/>
      <c r="K140" s="61"/>
      <c r="L140" s="66"/>
    </row>
    <row r="141" spans="1:12" ht="12.75">
      <c r="A141" s="75" t="s">
        <v>393</v>
      </c>
      <c r="B141" s="75">
        <v>72</v>
      </c>
      <c r="C141" s="75" t="s">
        <v>385</v>
      </c>
      <c r="D141" s="75">
        <v>1600</v>
      </c>
      <c r="E141" s="75">
        <v>7.3</v>
      </c>
      <c r="F141" s="61" t="s">
        <v>394</v>
      </c>
      <c r="G141" s="61" t="s">
        <v>395</v>
      </c>
      <c r="H141" s="61"/>
      <c r="I141" s="61"/>
      <c r="J141" s="61"/>
      <c r="K141" s="61"/>
      <c r="L141" s="66"/>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E57"/>
  <sheetViews>
    <sheetView zoomScale="75" zoomScaleNormal="75" workbookViewId="0" topLeftCell="A1">
      <selection activeCell="B37" sqref="B37"/>
    </sheetView>
  </sheetViews>
  <sheetFormatPr defaultColWidth="9.140625" defaultRowHeight="12.75"/>
  <cols>
    <col min="1" max="1" width="9.140625" style="1" customWidth="1"/>
    <col min="2" max="2" width="16.7109375" style="1" customWidth="1"/>
    <col min="3" max="4" width="22.421875" style="1" customWidth="1"/>
    <col min="5" max="5" width="34.00390625" style="1" customWidth="1"/>
  </cols>
  <sheetData>
    <row r="1" spans="1:5" ht="12.75">
      <c r="A1" s="138" t="s">
        <v>566</v>
      </c>
      <c r="B1" s="139"/>
      <c r="C1" s="139"/>
      <c r="D1" s="139"/>
      <c r="E1" s="140"/>
    </row>
    <row r="2" spans="1:5" ht="12.75">
      <c r="A2" s="150" t="s">
        <v>272</v>
      </c>
      <c r="B2" s="109" t="s">
        <v>273</v>
      </c>
      <c r="C2" s="109" t="s">
        <v>10</v>
      </c>
      <c r="D2" s="111"/>
      <c r="E2" s="212" t="s">
        <v>11</v>
      </c>
    </row>
    <row r="3" spans="1:5" ht="12.75">
      <c r="A3" s="95">
        <v>90.5</v>
      </c>
      <c r="B3" s="95">
        <v>69</v>
      </c>
      <c r="C3" s="95">
        <f>4</f>
        <v>4</v>
      </c>
      <c r="D3" s="111"/>
      <c r="E3" s="212">
        <f>PRODUCT(0.7853982,B3,C3)*(A3^2)/1000</f>
        <v>1775.3996996838</v>
      </c>
    </row>
    <row r="4" spans="1:5" ht="12.75">
      <c r="A4" s="113">
        <f>'Base Data'!G13</f>
        <v>90.5</v>
      </c>
      <c r="B4" s="113">
        <v>78</v>
      </c>
      <c r="C4" s="113">
        <f>'Base Data'!G11</f>
        <v>4</v>
      </c>
      <c r="D4" s="112" t="s">
        <v>567</v>
      </c>
      <c r="E4" s="212">
        <f>PRODUCT(0.7853982,B4,C4)*(A4^2)/1000</f>
        <v>2006.9735735556</v>
      </c>
    </row>
    <row r="5" spans="1:5" ht="12.75">
      <c r="A5" s="141"/>
      <c r="B5" s="111"/>
      <c r="C5" s="111"/>
      <c r="D5" s="111"/>
      <c r="E5" s="142"/>
    </row>
    <row r="6" spans="1:5" ht="12.75">
      <c r="A6" s="146" t="s">
        <v>500</v>
      </c>
      <c r="B6" s="111"/>
      <c r="C6" s="111"/>
      <c r="D6" s="111"/>
      <c r="E6" s="142"/>
    </row>
    <row r="7" spans="1:5" ht="12.75">
      <c r="A7" s="150" t="s">
        <v>1</v>
      </c>
      <c r="B7" s="111"/>
      <c r="C7" s="109" t="s">
        <v>2</v>
      </c>
      <c r="D7" s="111"/>
      <c r="E7" s="212" t="s">
        <v>19</v>
      </c>
    </row>
    <row r="8" spans="1:5" ht="12.75">
      <c r="A8" s="95">
        <v>90.5</v>
      </c>
      <c r="B8" s="111"/>
      <c r="C8" s="95">
        <v>78</v>
      </c>
      <c r="D8" s="111"/>
      <c r="E8" s="212">
        <f>POWER(A8,2)*(C8)*(0.0031416)/4</f>
        <v>501.7445433</v>
      </c>
    </row>
    <row r="9" spans="1:5" ht="13.5" thickBot="1">
      <c r="A9" s="113">
        <f>A3</f>
        <v>90.5</v>
      </c>
      <c r="B9" s="147"/>
      <c r="C9" s="113">
        <f>B3</f>
        <v>69</v>
      </c>
      <c r="D9" s="148" t="s">
        <v>567</v>
      </c>
      <c r="E9" s="212">
        <f>POWER(A9,2)*(C9)*(0.0031416)/4</f>
        <v>443.85094215</v>
      </c>
    </row>
    <row r="10" ht="12.75">
      <c r="E10" s="142"/>
    </row>
    <row r="11" spans="1:5" ht="12.75">
      <c r="A11" s="2" t="s">
        <v>572</v>
      </c>
      <c r="E11" s="142"/>
    </row>
    <row r="12" spans="1:5" ht="12.75">
      <c r="A12" s="269" t="s">
        <v>245</v>
      </c>
      <c r="B12" s="252"/>
      <c r="C12" s="110" t="s">
        <v>501</v>
      </c>
      <c r="E12" s="212" t="s">
        <v>502</v>
      </c>
    </row>
    <row r="13" spans="1:5" ht="12.75">
      <c r="A13" s="253">
        <v>502</v>
      </c>
      <c r="B13" s="254"/>
      <c r="C13" s="95">
        <v>4000</v>
      </c>
      <c r="E13" s="212">
        <f>SQRT(A13*C13)/40</f>
        <v>35.4259791678367</v>
      </c>
    </row>
    <row r="14" spans="1:5" ht="12.75">
      <c r="A14" s="255">
        <f>E9</f>
        <v>443.9</v>
      </c>
      <c r="B14" s="256"/>
      <c r="C14" s="113">
        <f>'Base Data'!I23</f>
        <v>2800</v>
      </c>
      <c r="D14" s="115" t="s">
        <v>567</v>
      </c>
      <c r="E14" s="212">
        <f>SQRT(A14*C13)/40</f>
        <v>33.3129104102298</v>
      </c>
    </row>
    <row r="15" ht="13.5" thickBot="1">
      <c r="E15" s="96"/>
    </row>
    <row r="16" spans="1:5" ht="12.75">
      <c r="A16" s="138" t="s">
        <v>570</v>
      </c>
      <c r="B16" s="139"/>
      <c r="C16" s="139"/>
      <c r="D16" s="139"/>
      <c r="E16" s="151" t="s">
        <v>571</v>
      </c>
    </row>
    <row r="17" spans="1:5" ht="12.75">
      <c r="A17" s="141"/>
      <c r="B17" s="111"/>
      <c r="C17" s="111"/>
      <c r="D17" s="111"/>
      <c r="E17" s="142"/>
    </row>
    <row r="18" spans="1:5" ht="12.75">
      <c r="A18" s="143" t="s">
        <v>12</v>
      </c>
      <c r="B18" s="117" t="s">
        <v>13</v>
      </c>
      <c r="C18" s="16"/>
      <c r="D18" s="111"/>
      <c r="E18" s="212" t="s">
        <v>14</v>
      </c>
    </row>
    <row r="19" spans="1:5" ht="12.75">
      <c r="A19" s="144">
        <v>4000</v>
      </c>
      <c r="B19" s="95">
        <v>2007</v>
      </c>
      <c r="C19" s="111"/>
      <c r="D19" s="111"/>
      <c r="E19" s="212">
        <f>PRODUCT(A19)*(B19*0.0610237)/3456</f>
        <v>141.752969791667</v>
      </c>
    </row>
    <row r="20" spans="1:5" ht="12.75">
      <c r="A20" s="145">
        <f>'Base Data'!I23</f>
        <v>2800</v>
      </c>
      <c r="B20" s="116">
        <f>E3</f>
        <v>1775</v>
      </c>
      <c r="C20" s="111"/>
      <c r="D20" s="112" t="s">
        <v>567</v>
      </c>
      <c r="E20" s="212">
        <f>PRODUCT(A20)*(B20*0.0610237)/3456</f>
        <v>87.7568833912037</v>
      </c>
    </row>
    <row r="21" spans="1:5" ht="12.75">
      <c r="A21" s="141"/>
      <c r="B21" s="111"/>
      <c r="C21" s="111"/>
      <c r="D21" s="152"/>
      <c r="E21" s="142"/>
    </row>
    <row r="22" spans="1:5" ht="12.75">
      <c r="A22" s="146" t="s">
        <v>576</v>
      </c>
      <c r="B22" s="111"/>
      <c r="C22" s="111"/>
      <c r="D22" s="152"/>
      <c r="E22" s="142"/>
    </row>
    <row r="23" spans="1:5" ht="12.75">
      <c r="A23" s="141"/>
      <c r="B23" s="149" t="s">
        <v>573</v>
      </c>
      <c r="C23" s="111"/>
      <c r="D23" s="111"/>
      <c r="E23" s="142"/>
    </row>
    <row r="24" spans="1:5" ht="12.75">
      <c r="A24" s="143" t="s">
        <v>15</v>
      </c>
      <c r="B24" s="117" t="s">
        <v>13</v>
      </c>
      <c r="C24" s="111"/>
      <c r="D24" s="111"/>
      <c r="E24" s="212" t="s">
        <v>16</v>
      </c>
    </row>
    <row r="25" spans="1:5" ht="12.75">
      <c r="A25" s="144">
        <v>4000</v>
      </c>
      <c r="B25" s="95">
        <v>2007</v>
      </c>
      <c r="C25" s="111"/>
      <c r="D25" s="111"/>
      <c r="E25" s="212">
        <f>((A25)*(B25*0.0610237)/3456)*0.85</f>
        <v>120.490024322917</v>
      </c>
    </row>
    <row r="26" spans="1:5" ht="12.75">
      <c r="A26" s="153">
        <f>A19</f>
        <v>4000</v>
      </c>
      <c r="B26" s="119">
        <f>E3</f>
        <v>1775</v>
      </c>
      <c r="C26" s="111"/>
      <c r="D26" s="112" t="s">
        <v>567</v>
      </c>
      <c r="E26" s="212">
        <f>((A26)*(B26*0.0610237)/3456)*0.85</f>
        <v>106.561929832176</v>
      </c>
    </row>
    <row r="27" spans="1:5" ht="12.75">
      <c r="A27" s="141"/>
      <c r="B27" s="111"/>
      <c r="C27" s="111"/>
      <c r="D27" s="111"/>
      <c r="E27" s="142"/>
    </row>
    <row r="28" spans="1:5" ht="12.75">
      <c r="A28" s="146" t="s">
        <v>575</v>
      </c>
      <c r="B28" s="111"/>
      <c r="C28" s="111"/>
      <c r="D28" s="111"/>
      <c r="E28" s="142"/>
    </row>
    <row r="29" spans="1:5" ht="12.75">
      <c r="A29" s="141"/>
      <c r="B29" s="149" t="s">
        <v>574</v>
      </c>
      <c r="C29" s="111"/>
      <c r="D29" s="111"/>
      <c r="E29" s="142"/>
    </row>
    <row r="30" spans="1:5" ht="12.75">
      <c r="A30" s="143" t="s">
        <v>15</v>
      </c>
      <c r="B30" s="117" t="s">
        <v>13</v>
      </c>
      <c r="C30" s="111"/>
      <c r="D30" s="111"/>
      <c r="E30" s="212" t="s">
        <v>16</v>
      </c>
    </row>
    <row r="31" spans="1:5" ht="12.75">
      <c r="A31" s="144">
        <v>4000</v>
      </c>
      <c r="B31" s="95">
        <v>2007</v>
      </c>
      <c r="C31" s="111"/>
      <c r="D31" s="111"/>
      <c r="E31" s="212">
        <f>((A31)*(B31*0.0610237)/3456)*1.1</f>
        <v>155.928266770833</v>
      </c>
    </row>
    <row r="32" spans="1:5" ht="13.5" thickBot="1">
      <c r="A32" s="154">
        <f>A26</f>
        <v>4000</v>
      </c>
      <c r="B32" s="155">
        <f>E3</f>
        <v>1775</v>
      </c>
      <c r="C32" s="147"/>
      <c r="D32" s="148" t="s">
        <v>567</v>
      </c>
      <c r="E32" s="212">
        <f>((A32)*(B32*0.0610237)/3456)*1.1</f>
        <v>137.903673900463</v>
      </c>
    </row>
    <row r="33" ht="12.75">
      <c r="E33" s="142"/>
    </row>
    <row r="34" spans="1:5" ht="12.75">
      <c r="A34" s="263" t="s">
        <v>955</v>
      </c>
      <c r="B34" s="263"/>
      <c r="C34" s="263"/>
      <c r="E34" s="142"/>
    </row>
    <row r="35" spans="1:5" ht="12.75">
      <c r="A35" s="143" t="s">
        <v>956</v>
      </c>
      <c r="B35" s="117" t="s">
        <v>958</v>
      </c>
      <c r="C35" s="117" t="s">
        <v>13</v>
      </c>
      <c r="D35" s="111"/>
      <c r="E35" s="212" t="s">
        <v>957</v>
      </c>
    </row>
    <row r="36" spans="1:5" ht="12.75">
      <c r="A36" s="144">
        <v>7000</v>
      </c>
      <c r="B36" s="95">
        <v>122.4746</v>
      </c>
      <c r="C36" s="111"/>
      <c r="D36" s="111"/>
      <c r="E36" s="212">
        <f>A36*B36/20839</f>
        <v>41.1402754450789</v>
      </c>
    </row>
    <row r="37" spans="1:5" ht="12.75">
      <c r="A37" s="144">
        <v>7000</v>
      </c>
      <c r="C37" s="95">
        <v>2000</v>
      </c>
      <c r="D37" s="111"/>
      <c r="E37" s="212">
        <f>(A37*((C37*0.001)*61.023744))/20839</f>
        <v>40.9968048370843</v>
      </c>
    </row>
    <row r="38" ht="13.5" thickBot="1">
      <c r="E38" s="96"/>
    </row>
    <row r="39" spans="1:5" ht="12.75">
      <c r="A39" s="138" t="s">
        <v>577</v>
      </c>
      <c r="B39" s="139"/>
      <c r="C39" s="139"/>
      <c r="D39" s="139"/>
      <c r="E39" s="140"/>
    </row>
    <row r="40" spans="1:5" ht="12.75">
      <c r="A40" s="143" t="s">
        <v>1</v>
      </c>
      <c r="B40" s="111"/>
      <c r="C40" s="110" t="s">
        <v>3</v>
      </c>
      <c r="D40" s="111"/>
      <c r="E40" s="212" t="s">
        <v>17</v>
      </c>
    </row>
    <row r="41" spans="1:5" ht="12.75">
      <c r="A41" s="144">
        <v>90.5</v>
      </c>
      <c r="B41" s="111"/>
      <c r="C41" s="95">
        <v>1.5</v>
      </c>
      <c r="D41" s="111"/>
      <c r="E41" s="212">
        <f>(A41)*(A41)*(C41)*(0.0031416)/4</f>
        <v>9.648933525</v>
      </c>
    </row>
    <row r="42" spans="1:5" ht="12.75">
      <c r="A42" s="145">
        <f>A3</f>
        <v>90.5</v>
      </c>
      <c r="B42" s="111"/>
      <c r="C42" s="113">
        <f>'Base Data'!G19</f>
        <v>1.25</v>
      </c>
      <c r="D42" s="112" t="s">
        <v>567</v>
      </c>
      <c r="E42" s="212">
        <f>(A42)*(A42)*(C42)*(0.0031416)/4</f>
        <v>8.0407779375</v>
      </c>
    </row>
    <row r="43" ht="12.75">
      <c r="E43" s="142"/>
    </row>
    <row r="44" spans="1:5" ht="12.75">
      <c r="A44" s="146" t="s">
        <v>20</v>
      </c>
      <c r="B44" s="111"/>
      <c r="C44" s="111"/>
      <c r="D44" s="111"/>
      <c r="E44" s="142"/>
    </row>
    <row r="45" spans="1:5" ht="12.75">
      <c r="A45" s="141"/>
      <c r="B45" s="111"/>
      <c r="C45" s="111"/>
      <c r="D45" s="111"/>
      <c r="E45" s="142"/>
    </row>
    <row r="46" spans="1:5" ht="12.75">
      <c r="A46" s="257" t="s">
        <v>18</v>
      </c>
      <c r="B46" s="258"/>
      <c r="C46" s="110" t="s">
        <v>21</v>
      </c>
      <c r="D46" s="110" t="s">
        <v>4</v>
      </c>
      <c r="E46" s="212" t="s">
        <v>22</v>
      </c>
    </row>
    <row r="47" spans="1:5" ht="12.75">
      <c r="A47" s="259">
        <v>450</v>
      </c>
      <c r="B47" s="260"/>
      <c r="C47" s="95">
        <v>8</v>
      </c>
      <c r="D47" s="95">
        <v>44</v>
      </c>
      <c r="E47" s="212">
        <f>SUM(A47,C47,D47)/SUM(C47,D47)</f>
        <v>9.65384615384615</v>
      </c>
    </row>
    <row r="48" spans="1:5" ht="13.5" thickBot="1">
      <c r="A48" s="261">
        <f>E9</f>
        <v>443.9</v>
      </c>
      <c r="B48" s="262"/>
      <c r="C48" s="156">
        <f>E42</f>
        <v>8.04</v>
      </c>
      <c r="D48" s="157">
        <f>'Base Data'!G21</f>
        <v>40</v>
      </c>
      <c r="E48" s="212">
        <f>SUM(A48,C48,D48)/SUM(C48,D48)</f>
        <v>10.2402164862614</v>
      </c>
    </row>
    <row r="49" ht="12.75">
      <c r="E49" s="142"/>
    </row>
    <row r="50" spans="1:5" ht="12.75">
      <c r="A50" s="2" t="s">
        <v>24</v>
      </c>
      <c r="E50" s="142"/>
    </row>
    <row r="51" spans="1:5" ht="12.75">
      <c r="A51" s="95" t="s">
        <v>15</v>
      </c>
      <c r="B51" s="95" t="s">
        <v>10</v>
      </c>
      <c r="D51" s="267" t="s">
        <v>25</v>
      </c>
      <c r="E51" s="268"/>
    </row>
    <row r="52" spans="1:5" ht="12.75">
      <c r="A52" s="95">
        <v>5000</v>
      </c>
      <c r="B52" s="95">
        <v>4</v>
      </c>
      <c r="D52" s="267">
        <f>(A52/2)*B52</f>
        <v>10000</v>
      </c>
      <c r="E52" s="268"/>
    </row>
    <row r="53" ht="12.75">
      <c r="E53" s="142"/>
    </row>
    <row r="54" spans="1:5" ht="12.75">
      <c r="A54" s="2" t="s">
        <v>657</v>
      </c>
      <c r="E54" s="142"/>
    </row>
    <row r="55" spans="1:5" ht="12.75">
      <c r="A55" s="95" t="s">
        <v>2</v>
      </c>
      <c r="C55" s="95" t="s">
        <v>656</v>
      </c>
      <c r="E55" s="212" t="s">
        <v>658</v>
      </c>
    </row>
    <row r="56" spans="1:5" ht="12.75">
      <c r="A56" s="95">
        <v>69</v>
      </c>
      <c r="C56" s="95">
        <v>137</v>
      </c>
      <c r="E56" s="212">
        <f>C56/A56</f>
        <v>1.98550724637681</v>
      </c>
    </row>
    <row r="57" spans="1:5" ht="13.5" thickBot="1">
      <c r="A57" s="113">
        <f>'Base Data'!G15</f>
        <v>78.4</v>
      </c>
      <c r="C57" s="113">
        <f>'Base Data'!G17</f>
        <v>137</v>
      </c>
      <c r="D57" s="211" t="s">
        <v>567</v>
      </c>
      <c r="E57" s="212">
        <f>C57/A57</f>
        <v>1.74744897959184</v>
      </c>
    </row>
  </sheetData>
  <mergeCells count="9">
    <mergeCell ref="D52:E52"/>
    <mergeCell ref="D51:E51"/>
    <mergeCell ref="A12:B12"/>
    <mergeCell ref="A13:B13"/>
    <mergeCell ref="A14:B14"/>
    <mergeCell ref="A46:B46"/>
    <mergeCell ref="A47:B47"/>
    <mergeCell ref="A48:B48"/>
    <mergeCell ref="A34:C34"/>
  </mergeCells>
  <hyperlinks>
    <hyperlink ref="E16" location="Volumetric_efficiency_definition" display="Volumetric_efficiency_definition"/>
  </hyperlinks>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2:F140"/>
  <sheetViews>
    <sheetView zoomScale="75" zoomScaleNormal="75" workbookViewId="0" topLeftCell="A1">
      <selection activeCell="A1" sqref="A1"/>
    </sheetView>
  </sheetViews>
  <sheetFormatPr defaultColWidth="9.140625" defaultRowHeight="12.75"/>
  <cols>
    <col min="1" max="1" width="20.57421875" style="0" customWidth="1"/>
    <col min="2" max="2" width="30.421875" style="0" bestFit="1" customWidth="1"/>
    <col min="3" max="3" width="23.421875" style="0" bestFit="1" customWidth="1"/>
    <col min="4" max="4" width="30.421875" style="0" bestFit="1" customWidth="1"/>
    <col min="5" max="5" width="23.421875" style="0" customWidth="1"/>
    <col min="6" max="6" width="23.7109375" style="0" bestFit="1" customWidth="1"/>
    <col min="7" max="7" width="24.140625" style="0" customWidth="1"/>
    <col min="8" max="8" width="14.8515625" style="0" customWidth="1"/>
  </cols>
  <sheetData>
    <row r="2" ht="12.75">
      <c r="A2" s="5" t="s">
        <v>278</v>
      </c>
    </row>
    <row r="3" ht="13.5" thickBot="1"/>
    <row r="4" spans="1:5" ht="12.75">
      <c r="A4" s="41" t="s">
        <v>276</v>
      </c>
      <c r="B4" s="41" t="s">
        <v>274</v>
      </c>
      <c r="C4" s="41" t="s">
        <v>275</v>
      </c>
      <c r="D4" s="128" t="s">
        <v>277</v>
      </c>
      <c r="E4" s="7"/>
    </row>
    <row r="5" spans="1:5" ht="13.5" thickBot="1">
      <c r="A5" s="95">
        <v>70</v>
      </c>
      <c r="B5" s="95">
        <v>14.7</v>
      </c>
      <c r="C5" s="95">
        <v>31.7</v>
      </c>
      <c r="D5" s="137">
        <f>B6-460</f>
        <v>199</v>
      </c>
      <c r="E5" s="7"/>
    </row>
    <row r="6" spans="1:2" ht="12.75">
      <c r="A6" s="126">
        <f>A5+460</f>
        <v>530</v>
      </c>
      <c r="B6" s="126">
        <f>POWER(C5/B5,0.283)*A6</f>
        <v>658.756381104665</v>
      </c>
    </row>
    <row r="7" ht="12.75">
      <c r="A7" s="5" t="s">
        <v>279</v>
      </c>
    </row>
    <row r="8" ht="13.5" thickBot="1"/>
    <row r="9" spans="1:5" ht="12.75">
      <c r="A9" s="127" t="s">
        <v>280</v>
      </c>
      <c r="B9" s="128" t="s">
        <v>281</v>
      </c>
      <c r="C9" s="7"/>
      <c r="D9" s="7"/>
      <c r="E9" s="7"/>
    </row>
    <row r="10" spans="1:4" ht="13.5" thickBot="1">
      <c r="A10" s="95">
        <v>75</v>
      </c>
      <c r="B10" s="136">
        <f>C10+A5</f>
        <v>242</v>
      </c>
      <c r="C10" s="125">
        <f>A11/B11</f>
        <v>172</v>
      </c>
      <c r="D10" s="7"/>
    </row>
    <row r="11" spans="1:2" ht="12.75">
      <c r="A11" s="125">
        <f>(D5-A5)</f>
        <v>129</v>
      </c>
      <c r="B11" s="125">
        <f>A10/100</f>
        <v>0.75</v>
      </c>
    </row>
    <row r="98" spans="1:6" ht="13.5" thickBot="1">
      <c r="A98" s="61" t="s">
        <v>287</v>
      </c>
      <c r="B98" s="61"/>
      <c r="C98" s="61"/>
      <c r="D98" s="61"/>
      <c r="E98" s="61"/>
      <c r="F98" s="61"/>
    </row>
    <row r="99" spans="1:6" ht="12.75">
      <c r="A99" s="81" t="s">
        <v>282</v>
      </c>
      <c r="B99" s="81" t="s">
        <v>283</v>
      </c>
      <c r="C99" s="81" t="s">
        <v>484</v>
      </c>
      <c r="D99" s="81" t="s">
        <v>284</v>
      </c>
      <c r="E99" s="81" t="s">
        <v>285</v>
      </c>
      <c r="F99" s="81" t="s">
        <v>286</v>
      </c>
    </row>
    <row r="100" spans="1:6" ht="12.75">
      <c r="A100" s="82">
        <v>0</v>
      </c>
      <c r="B100" s="82">
        <v>29.92</v>
      </c>
      <c r="C100" s="85">
        <f>(B100*0.4912)</f>
        <v>14.7</v>
      </c>
      <c r="D100" s="82">
        <v>59</v>
      </c>
      <c r="E100" s="78">
        <f>D100+459.69</f>
        <v>518.69</v>
      </c>
      <c r="F100" s="82">
        <v>1</v>
      </c>
    </row>
    <row r="101" spans="1:6" ht="12.75">
      <c r="A101" s="82">
        <v>1000</v>
      </c>
      <c r="B101" s="82">
        <v>28.86</v>
      </c>
      <c r="C101" s="85">
        <f>(B101*0.4912)</f>
        <v>14.2</v>
      </c>
      <c r="D101" s="82">
        <v>55.43</v>
      </c>
      <c r="E101" s="78">
        <f aca="true" t="shared" si="0" ref="E101:E140">D101+459.69</f>
        <v>515.12</v>
      </c>
      <c r="F101" s="82">
        <v>0.997</v>
      </c>
    </row>
    <row r="102" spans="1:6" ht="12.75">
      <c r="A102" s="82">
        <f>A101+1000</f>
        <v>2000</v>
      </c>
      <c r="B102" s="82">
        <v>27.82</v>
      </c>
      <c r="C102" s="85">
        <f aca="true" t="shared" si="1" ref="C102:C140">(B102*0.4912)</f>
        <v>13.7</v>
      </c>
      <c r="D102" s="82">
        <v>51.87</v>
      </c>
      <c r="E102" s="78">
        <f t="shared" si="0"/>
        <v>511.56</v>
      </c>
      <c r="F102" s="82">
        <v>0.993</v>
      </c>
    </row>
    <row r="103" spans="1:6" ht="12.75">
      <c r="A103" s="82">
        <f aca="true" t="shared" si="2" ref="A103:A139">A102+1000</f>
        <v>3000</v>
      </c>
      <c r="B103" s="82">
        <v>26.81</v>
      </c>
      <c r="C103" s="85">
        <f t="shared" si="1"/>
        <v>13.2</v>
      </c>
      <c r="D103" s="82">
        <v>48.3</v>
      </c>
      <c r="E103" s="78">
        <f t="shared" si="0"/>
        <v>507.99</v>
      </c>
      <c r="F103" s="82">
        <v>0.989</v>
      </c>
    </row>
    <row r="104" spans="1:6" ht="12.75">
      <c r="A104" s="82">
        <f t="shared" si="2"/>
        <v>4000</v>
      </c>
      <c r="B104" s="82">
        <v>25.84</v>
      </c>
      <c r="C104" s="85">
        <f t="shared" si="1"/>
        <v>12.7</v>
      </c>
      <c r="D104" s="82">
        <v>44.74</v>
      </c>
      <c r="E104" s="78">
        <f t="shared" si="0"/>
        <v>504.43</v>
      </c>
      <c r="F104" s="82">
        <v>0.986</v>
      </c>
    </row>
    <row r="105" spans="1:6" ht="12.75">
      <c r="A105" s="82">
        <f t="shared" si="2"/>
        <v>5000</v>
      </c>
      <c r="B105" s="82">
        <v>24.9</v>
      </c>
      <c r="C105" s="85">
        <f t="shared" si="1"/>
        <v>12.2</v>
      </c>
      <c r="D105" s="82">
        <v>41.17</v>
      </c>
      <c r="E105" s="78">
        <f t="shared" si="0"/>
        <v>500.86</v>
      </c>
      <c r="F105" s="82">
        <v>0.982</v>
      </c>
    </row>
    <row r="106" spans="1:6" ht="12.75">
      <c r="A106" s="82">
        <f t="shared" si="2"/>
        <v>6000</v>
      </c>
      <c r="B106" s="82">
        <v>23.98</v>
      </c>
      <c r="C106" s="85">
        <f t="shared" si="1"/>
        <v>11.8</v>
      </c>
      <c r="D106" s="82">
        <v>37.61</v>
      </c>
      <c r="E106" s="78">
        <f t="shared" si="0"/>
        <v>497.3</v>
      </c>
      <c r="F106" s="82">
        <v>0.979</v>
      </c>
    </row>
    <row r="107" spans="1:6" ht="12.75">
      <c r="A107" s="82">
        <f t="shared" si="2"/>
        <v>7000</v>
      </c>
      <c r="B107" s="82">
        <v>23.09</v>
      </c>
      <c r="C107" s="85">
        <f t="shared" si="1"/>
        <v>11.3</v>
      </c>
      <c r="D107" s="82">
        <v>34.05</v>
      </c>
      <c r="E107" s="78">
        <f t="shared" si="0"/>
        <v>493.74</v>
      </c>
      <c r="F107" s="82">
        <v>0.975</v>
      </c>
    </row>
    <row r="108" spans="1:6" ht="12.75">
      <c r="A108" s="82">
        <f t="shared" si="2"/>
        <v>8000</v>
      </c>
      <c r="B108" s="82">
        <v>22.23</v>
      </c>
      <c r="C108" s="85">
        <f t="shared" si="1"/>
        <v>10.9</v>
      </c>
      <c r="D108" s="82">
        <v>30.48</v>
      </c>
      <c r="E108" s="78">
        <f t="shared" si="0"/>
        <v>490.17</v>
      </c>
      <c r="F108" s="82">
        <v>0.972</v>
      </c>
    </row>
    <row r="109" spans="1:6" ht="12.75">
      <c r="A109" s="82">
        <f t="shared" si="2"/>
        <v>9000</v>
      </c>
      <c r="B109" s="82">
        <v>21.39</v>
      </c>
      <c r="C109" s="85">
        <f t="shared" si="1"/>
        <v>10.5</v>
      </c>
      <c r="D109" s="82">
        <v>26.92</v>
      </c>
      <c r="E109" s="78">
        <f t="shared" si="0"/>
        <v>486.61</v>
      </c>
      <c r="F109" s="82">
        <v>0.969</v>
      </c>
    </row>
    <row r="110" spans="1:6" ht="12.75">
      <c r="A110" s="82">
        <f t="shared" si="2"/>
        <v>10000</v>
      </c>
      <c r="B110" s="82">
        <v>20.59</v>
      </c>
      <c r="C110" s="85">
        <f t="shared" si="1"/>
        <v>10.1</v>
      </c>
      <c r="D110" s="82">
        <v>23.36</v>
      </c>
      <c r="E110" s="78">
        <f t="shared" si="0"/>
        <v>483.05</v>
      </c>
      <c r="F110" s="82">
        <v>0.965</v>
      </c>
    </row>
    <row r="111" spans="1:6" ht="12.75">
      <c r="A111" s="82">
        <f t="shared" si="2"/>
        <v>11000</v>
      </c>
      <c r="B111" s="82">
        <v>19.8</v>
      </c>
      <c r="C111" s="85">
        <f t="shared" si="1"/>
        <v>9.7</v>
      </c>
      <c r="D111" s="82">
        <v>19.79</v>
      </c>
      <c r="E111" s="78">
        <f t="shared" si="0"/>
        <v>479.48</v>
      </c>
      <c r="F111" s="82">
        <v>0.962</v>
      </c>
    </row>
    <row r="112" spans="1:6" ht="12.75">
      <c r="A112" s="82">
        <f t="shared" si="2"/>
        <v>12000</v>
      </c>
      <c r="B112" s="82">
        <v>19.03</v>
      </c>
      <c r="C112" s="85">
        <f t="shared" si="1"/>
        <v>9.3</v>
      </c>
      <c r="D112" s="82">
        <v>16.23</v>
      </c>
      <c r="E112" s="78">
        <f t="shared" si="0"/>
        <v>475.92</v>
      </c>
      <c r="F112" s="82">
        <v>0.958</v>
      </c>
    </row>
    <row r="113" spans="1:6" ht="12.75">
      <c r="A113" s="82">
        <f t="shared" si="2"/>
        <v>13000</v>
      </c>
      <c r="B113" s="82">
        <v>18.3</v>
      </c>
      <c r="C113" s="85">
        <f t="shared" si="1"/>
        <v>9</v>
      </c>
      <c r="D113" s="82">
        <v>12.67</v>
      </c>
      <c r="E113" s="78">
        <f t="shared" si="0"/>
        <v>472.36</v>
      </c>
      <c r="F113" s="82">
        <v>0.954</v>
      </c>
    </row>
    <row r="114" spans="1:6" ht="12.75">
      <c r="A114" s="82">
        <f t="shared" si="2"/>
        <v>14000</v>
      </c>
      <c r="B114" s="82">
        <v>17.58</v>
      </c>
      <c r="C114" s="85">
        <f t="shared" si="1"/>
        <v>8.6</v>
      </c>
      <c r="D114" s="82">
        <v>9.11</v>
      </c>
      <c r="E114" s="78">
        <f t="shared" si="0"/>
        <v>468.8</v>
      </c>
      <c r="F114" s="82">
        <v>0.951</v>
      </c>
    </row>
    <row r="115" spans="1:6" ht="12.75">
      <c r="A115" s="82">
        <f t="shared" si="2"/>
        <v>15000</v>
      </c>
      <c r="B115" s="82">
        <v>16.89</v>
      </c>
      <c r="C115" s="85">
        <f t="shared" si="1"/>
        <v>8.3</v>
      </c>
      <c r="D115" s="82">
        <v>5.55</v>
      </c>
      <c r="E115" s="78">
        <f t="shared" si="0"/>
        <v>465.24</v>
      </c>
      <c r="F115" s="82">
        <v>0.947</v>
      </c>
    </row>
    <row r="116" spans="1:6" ht="12.75">
      <c r="A116" s="82">
        <f t="shared" si="2"/>
        <v>16000</v>
      </c>
      <c r="B116" s="82">
        <v>16.22</v>
      </c>
      <c r="C116" s="85">
        <f t="shared" si="1"/>
        <v>8</v>
      </c>
      <c r="D116" s="82">
        <v>1.99</v>
      </c>
      <c r="E116" s="78">
        <f t="shared" si="0"/>
        <v>461.68</v>
      </c>
      <c r="F116" s="82">
        <v>0.943</v>
      </c>
    </row>
    <row r="117" spans="1:6" ht="12.75">
      <c r="A117" s="82">
        <f t="shared" si="2"/>
        <v>17000</v>
      </c>
      <c r="B117" s="82">
        <v>15.58</v>
      </c>
      <c r="C117" s="85">
        <f t="shared" si="1"/>
        <v>7.7</v>
      </c>
      <c r="D117" s="82">
        <v>-1.58</v>
      </c>
      <c r="E117" s="78">
        <f t="shared" si="0"/>
        <v>458.11</v>
      </c>
      <c r="F117" s="82">
        <v>0.94</v>
      </c>
    </row>
    <row r="118" spans="1:6" ht="12.75">
      <c r="A118" s="82">
        <f t="shared" si="2"/>
        <v>18000</v>
      </c>
      <c r="B118" s="82">
        <v>14.95</v>
      </c>
      <c r="C118" s="85">
        <f t="shared" si="1"/>
        <v>7.3</v>
      </c>
      <c r="D118" s="82">
        <v>-5.14</v>
      </c>
      <c r="E118" s="78">
        <f t="shared" si="0"/>
        <v>454.55</v>
      </c>
      <c r="F118" s="82">
        <v>0.936</v>
      </c>
    </row>
    <row r="119" spans="1:6" ht="12.75">
      <c r="A119" s="82">
        <f t="shared" si="2"/>
        <v>19000</v>
      </c>
      <c r="B119" s="82">
        <v>14.35</v>
      </c>
      <c r="C119" s="85">
        <f t="shared" si="1"/>
        <v>7</v>
      </c>
      <c r="D119" s="82">
        <v>-8.69</v>
      </c>
      <c r="E119" s="78">
        <f t="shared" si="0"/>
        <v>451</v>
      </c>
      <c r="F119" s="82">
        <v>0.933</v>
      </c>
    </row>
    <row r="120" spans="1:6" ht="12.75">
      <c r="A120" s="82">
        <f t="shared" si="2"/>
        <v>20000</v>
      </c>
      <c r="B120" s="82">
        <v>13.76</v>
      </c>
      <c r="C120" s="85">
        <f t="shared" si="1"/>
        <v>6.8</v>
      </c>
      <c r="D120" s="82">
        <v>-12.25</v>
      </c>
      <c r="E120" s="78">
        <f t="shared" si="0"/>
        <v>447.44</v>
      </c>
      <c r="F120" s="82">
        <v>0.929</v>
      </c>
    </row>
    <row r="121" spans="1:6" ht="12.75">
      <c r="A121" s="82">
        <f t="shared" si="2"/>
        <v>21000</v>
      </c>
      <c r="B121" s="82">
        <v>13.2</v>
      </c>
      <c r="C121" s="85">
        <f t="shared" si="1"/>
        <v>6.5</v>
      </c>
      <c r="D121" s="82">
        <v>-15.81</v>
      </c>
      <c r="E121" s="78">
        <f t="shared" si="0"/>
        <v>443.88</v>
      </c>
      <c r="F121" s="82">
        <v>0.925</v>
      </c>
    </row>
    <row r="122" spans="1:6" ht="12.75">
      <c r="A122" s="82">
        <f t="shared" si="2"/>
        <v>22000</v>
      </c>
      <c r="B122" s="82">
        <v>12.65</v>
      </c>
      <c r="C122" s="85">
        <f t="shared" si="1"/>
        <v>6.2</v>
      </c>
      <c r="D122" s="82">
        <v>-19.37</v>
      </c>
      <c r="E122" s="78">
        <f t="shared" si="0"/>
        <v>440.32</v>
      </c>
      <c r="F122" s="82">
        <v>0.921</v>
      </c>
    </row>
    <row r="123" spans="1:6" ht="12.75">
      <c r="A123" s="82">
        <f t="shared" si="2"/>
        <v>23000</v>
      </c>
      <c r="B123" s="82">
        <v>12.12</v>
      </c>
      <c r="C123" s="85">
        <f t="shared" si="1"/>
        <v>6</v>
      </c>
      <c r="D123" s="82">
        <v>-22.93</v>
      </c>
      <c r="E123" s="78">
        <f t="shared" si="0"/>
        <v>436.76</v>
      </c>
      <c r="F123" s="82">
        <v>0.918</v>
      </c>
    </row>
    <row r="124" spans="1:6" ht="12.75">
      <c r="A124" s="82">
        <f t="shared" si="2"/>
        <v>24000</v>
      </c>
      <c r="B124" s="82">
        <v>11.61</v>
      </c>
      <c r="C124" s="85">
        <f t="shared" si="1"/>
        <v>5.7</v>
      </c>
      <c r="D124" s="82">
        <v>-26.49</v>
      </c>
      <c r="E124" s="78">
        <f t="shared" si="0"/>
        <v>433.2</v>
      </c>
      <c r="F124" s="82">
        <v>0.914</v>
      </c>
    </row>
    <row r="125" spans="1:6" ht="12.75">
      <c r="A125" s="82">
        <f t="shared" si="2"/>
        <v>25000</v>
      </c>
      <c r="B125" s="82">
        <v>11.12</v>
      </c>
      <c r="C125" s="85">
        <f t="shared" si="1"/>
        <v>5.5</v>
      </c>
      <c r="D125" s="82">
        <v>-30.05</v>
      </c>
      <c r="E125" s="78">
        <f t="shared" si="0"/>
        <v>429.64</v>
      </c>
      <c r="F125" s="82">
        <v>0.91</v>
      </c>
    </row>
    <row r="126" spans="1:6" ht="12.75">
      <c r="A126" s="82">
        <f t="shared" si="2"/>
        <v>26000</v>
      </c>
      <c r="B126" s="82">
        <v>10.64</v>
      </c>
      <c r="C126" s="85">
        <f t="shared" si="1"/>
        <v>5.2</v>
      </c>
      <c r="D126" s="82">
        <v>-33.6</v>
      </c>
      <c r="E126" s="78">
        <f t="shared" si="0"/>
        <v>426.09</v>
      </c>
      <c r="F126" s="82">
        <v>0.906</v>
      </c>
    </row>
    <row r="127" spans="1:6" ht="12.75">
      <c r="A127" s="82">
        <f t="shared" si="2"/>
        <v>27000</v>
      </c>
      <c r="B127" s="82">
        <v>10.18</v>
      </c>
      <c r="C127" s="85">
        <f t="shared" si="1"/>
        <v>5</v>
      </c>
      <c r="D127" s="82">
        <v>-37.16</v>
      </c>
      <c r="E127" s="78">
        <f t="shared" si="0"/>
        <v>422.53</v>
      </c>
      <c r="F127" s="82">
        <v>0.903</v>
      </c>
    </row>
    <row r="128" spans="1:6" ht="12.75">
      <c r="A128" s="82">
        <f t="shared" si="2"/>
        <v>28000</v>
      </c>
      <c r="B128" s="82">
        <v>9.741</v>
      </c>
      <c r="C128" s="85">
        <f t="shared" si="1"/>
        <v>4.8</v>
      </c>
      <c r="D128" s="82">
        <v>-40.72</v>
      </c>
      <c r="E128" s="78">
        <f t="shared" si="0"/>
        <v>418.97</v>
      </c>
      <c r="F128" s="82">
        <v>0.899</v>
      </c>
    </row>
    <row r="129" spans="1:6" ht="12.75">
      <c r="A129" s="82">
        <f t="shared" si="2"/>
        <v>29000</v>
      </c>
      <c r="B129" s="82">
        <v>9.314</v>
      </c>
      <c r="C129" s="85">
        <f t="shared" si="1"/>
        <v>4.6</v>
      </c>
      <c r="D129" s="82">
        <v>-44.28</v>
      </c>
      <c r="E129" s="78">
        <f t="shared" si="0"/>
        <v>415.41</v>
      </c>
      <c r="F129" s="82">
        <v>0.895</v>
      </c>
    </row>
    <row r="130" spans="1:6" ht="12.75">
      <c r="A130" s="82">
        <f t="shared" si="2"/>
        <v>30000</v>
      </c>
      <c r="B130" s="82">
        <v>8.903</v>
      </c>
      <c r="C130" s="85">
        <f t="shared" si="1"/>
        <v>4.4</v>
      </c>
      <c r="D130" s="82">
        <v>-47.83</v>
      </c>
      <c r="E130" s="78">
        <f t="shared" si="0"/>
        <v>411.86</v>
      </c>
      <c r="F130" s="82">
        <v>0.891</v>
      </c>
    </row>
    <row r="131" spans="1:6" ht="12.75">
      <c r="A131" s="82">
        <f t="shared" si="2"/>
        <v>31000</v>
      </c>
      <c r="B131" s="82">
        <v>8.506</v>
      </c>
      <c r="C131" s="85">
        <f t="shared" si="1"/>
        <v>4.2</v>
      </c>
      <c r="D131" s="82">
        <v>-51.38</v>
      </c>
      <c r="E131" s="78">
        <f t="shared" si="0"/>
        <v>408.31</v>
      </c>
      <c r="F131" s="82">
        <v>0.887</v>
      </c>
    </row>
    <row r="132" spans="1:6" ht="12.75">
      <c r="A132" s="82">
        <f t="shared" si="2"/>
        <v>32000</v>
      </c>
      <c r="B132" s="82">
        <v>8.124</v>
      </c>
      <c r="C132" s="85">
        <f t="shared" si="1"/>
        <v>4</v>
      </c>
      <c r="D132" s="82">
        <v>-54.94</v>
      </c>
      <c r="E132" s="78">
        <f t="shared" si="0"/>
        <v>404.75</v>
      </c>
      <c r="F132" s="82">
        <v>0.883</v>
      </c>
    </row>
    <row r="133" spans="1:6" ht="12.75">
      <c r="A133" s="82">
        <f t="shared" si="2"/>
        <v>33000</v>
      </c>
      <c r="B133" s="82">
        <v>7.756</v>
      </c>
      <c r="C133" s="85">
        <f t="shared" si="1"/>
        <v>3.8</v>
      </c>
      <c r="D133" s="82">
        <v>-58.5</v>
      </c>
      <c r="E133" s="78">
        <f t="shared" si="0"/>
        <v>401.19</v>
      </c>
      <c r="F133" s="82">
        <v>0.88</v>
      </c>
    </row>
    <row r="134" spans="1:6" ht="12.75">
      <c r="A134" s="82">
        <f t="shared" si="2"/>
        <v>34000</v>
      </c>
      <c r="B134" s="82">
        <v>7.401</v>
      </c>
      <c r="C134" s="85">
        <f t="shared" si="1"/>
        <v>3.6</v>
      </c>
      <c r="D134" s="82">
        <v>-62.05</v>
      </c>
      <c r="E134" s="78">
        <f t="shared" si="0"/>
        <v>397.64</v>
      </c>
      <c r="F134" s="82">
        <v>0.876</v>
      </c>
    </row>
    <row r="135" spans="1:6" ht="12.75">
      <c r="A135" s="82">
        <f t="shared" si="2"/>
        <v>35000</v>
      </c>
      <c r="B135" s="82">
        <v>7.06</v>
      </c>
      <c r="C135" s="85">
        <f t="shared" si="1"/>
        <v>3.5</v>
      </c>
      <c r="D135" s="82">
        <v>-65.61</v>
      </c>
      <c r="E135" s="78">
        <f t="shared" si="0"/>
        <v>394.08</v>
      </c>
      <c r="F135" s="82">
        <v>0.872</v>
      </c>
    </row>
    <row r="136" spans="1:6" ht="12.75">
      <c r="A136" s="82">
        <f t="shared" si="2"/>
        <v>36000</v>
      </c>
      <c r="B136" s="82">
        <v>6.732</v>
      </c>
      <c r="C136" s="85">
        <f t="shared" si="1"/>
        <v>3.3</v>
      </c>
      <c r="D136" s="82">
        <v>-69.16</v>
      </c>
      <c r="E136" s="78">
        <f t="shared" si="0"/>
        <v>390.53</v>
      </c>
      <c r="F136" s="82">
        <v>0.868</v>
      </c>
    </row>
    <row r="137" spans="1:6" ht="12.75">
      <c r="A137" s="82">
        <f t="shared" si="2"/>
        <v>37000</v>
      </c>
      <c r="B137" s="82">
        <v>6.417</v>
      </c>
      <c r="C137" s="85">
        <f t="shared" si="1"/>
        <v>3.2</v>
      </c>
      <c r="D137" s="82">
        <v>-69.7</v>
      </c>
      <c r="E137" s="78">
        <f t="shared" si="0"/>
        <v>389.99</v>
      </c>
      <c r="F137" s="82">
        <v>0.867</v>
      </c>
    </row>
    <row r="138" spans="1:6" ht="12.75">
      <c r="A138" s="82">
        <f t="shared" si="2"/>
        <v>38000</v>
      </c>
      <c r="B138" s="82">
        <v>6.117</v>
      </c>
      <c r="C138" s="85">
        <f t="shared" si="1"/>
        <v>3</v>
      </c>
      <c r="D138" s="82">
        <v>-69.7</v>
      </c>
      <c r="E138" s="78">
        <f t="shared" si="0"/>
        <v>389.99</v>
      </c>
      <c r="F138" s="82">
        <v>0.867</v>
      </c>
    </row>
    <row r="139" spans="1:6" ht="12.75">
      <c r="A139" s="82">
        <f t="shared" si="2"/>
        <v>39000</v>
      </c>
      <c r="B139" s="82">
        <v>5.831</v>
      </c>
      <c r="C139" s="85">
        <f t="shared" si="1"/>
        <v>2.9</v>
      </c>
      <c r="D139" s="82">
        <v>-69.7</v>
      </c>
      <c r="E139" s="78">
        <f t="shared" si="0"/>
        <v>389.99</v>
      </c>
      <c r="F139" s="82">
        <v>0.867</v>
      </c>
    </row>
    <row r="140" spans="1:6" ht="13.5" thickBot="1">
      <c r="A140" s="83">
        <v>40000</v>
      </c>
      <c r="B140" s="83">
        <v>5.558</v>
      </c>
      <c r="C140" s="85">
        <f t="shared" si="1"/>
        <v>2.7</v>
      </c>
      <c r="D140" s="83">
        <v>-69.7</v>
      </c>
      <c r="E140" s="84">
        <f t="shared" si="0"/>
        <v>389.99</v>
      </c>
      <c r="F140" s="83">
        <v>0.867</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L372"/>
  <sheetViews>
    <sheetView zoomScale="75" zoomScaleNormal="75" workbookViewId="0" topLeftCell="A1">
      <selection activeCell="A1" sqref="A1"/>
    </sheetView>
  </sheetViews>
  <sheetFormatPr defaultColWidth="9.140625" defaultRowHeight="12.75"/>
  <cols>
    <col min="1" max="1" width="36.140625" style="0" customWidth="1"/>
    <col min="2" max="2" width="26.140625" style="0" customWidth="1"/>
    <col min="3" max="3" width="20.28125" style="0" customWidth="1"/>
    <col min="4" max="4" width="10.8515625" style="0" customWidth="1"/>
    <col min="5" max="5" width="10.57421875" style="0" customWidth="1"/>
    <col min="6" max="6" width="11.421875" style="0" customWidth="1"/>
    <col min="7" max="7" width="9.28125" style="0" bestFit="1" customWidth="1"/>
    <col min="8" max="8" width="12.8515625" style="0" customWidth="1"/>
    <col min="9" max="12" width="9.28125" style="0" bestFit="1" customWidth="1"/>
  </cols>
  <sheetData>
    <row r="2" s="202" customFormat="1" ht="15">
      <c r="A2" s="202" t="s">
        <v>651</v>
      </c>
    </row>
    <row r="3" s="202" customFormat="1" ht="15">
      <c r="A3" s="202" t="s">
        <v>652</v>
      </c>
    </row>
    <row r="4" s="202" customFormat="1" ht="15">
      <c r="A4" s="202" t="s">
        <v>653</v>
      </c>
    </row>
    <row r="5" s="202" customFormat="1" ht="15"/>
    <row r="6" spans="1:3" s="100" customFormat="1" ht="12.75">
      <c r="A6" s="4" t="s">
        <v>587</v>
      </c>
      <c r="B6" s="199" t="s">
        <v>588</v>
      </c>
      <c r="C6" s="118" t="s">
        <v>589</v>
      </c>
    </row>
    <row r="8" ht="12.75">
      <c r="A8" s="5" t="s">
        <v>581</v>
      </c>
    </row>
    <row r="9" spans="1:2" ht="12.75">
      <c r="A9" s="129" t="s">
        <v>510</v>
      </c>
      <c r="B9" s="130" t="s">
        <v>509</v>
      </c>
    </row>
    <row r="10" spans="1:2" ht="12.75">
      <c r="A10" s="119">
        <f>'Base Data'!I12*0.06102</f>
        <v>123</v>
      </c>
      <c r="B10" s="114">
        <f>'Engine Formulas'!C13</f>
        <v>4000</v>
      </c>
    </row>
    <row r="12" spans="1:9" ht="12.75">
      <c r="A12" s="41" t="s">
        <v>504</v>
      </c>
      <c r="B12" s="41" t="s">
        <v>505</v>
      </c>
      <c r="C12" s="41" t="s">
        <v>506</v>
      </c>
      <c r="D12" s="41" t="s">
        <v>507</v>
      </c>
      <c r="E12" s="41" t="s">
        <v>508</v>
      </c>
      <c r="F12" s="87" t="s">
        <v>292</v>
      </c>
      <c r="G12" s="248" t="s">
        <v>290</v>
      </c>
      <c r="H12" s="249"/>
      <c r="I12" s="42"/>
    </row>
    <row r="13" spans="1:9" ht="12.75">
      <c r="A13" s="39"/>
      <c r="B13" s="39"/>
      <c r="C13" s="39"/>
      <c r="D13" s="39" t="s">
        <v>511</v>
      </c>
      <c r="E13" s="39"/>
      <c r="F13" s="40"/>
      <c r="G13" s="40"/>
      <c r="H13" s="11"/>
      <c r="I13" s="42"/>
    </row>
    <row r="14" spans="1:9" ht="12.75">
      <c r="A14" s="95">
        <v>250</v>
      </c>
      <c r="B14" s="95">
        <v>4</v>
      </c>
      <c r="C14" s="95">
        <v>5000</v>
      </c>
      <c r="D14" s="95">
        <v>10</v>
      </c>
      <c r="E14" s="95">
        <v>70</v>
      </c>
      <c r="F14" s="95">
        <v>29</v>
      </c>
      <c r="G14" s="253">
        <v>65</v>
      </c>
      <c r="H14" s="254"/>
      <c r="I14" s="42"/>
    </row>
    <row r="15" spans="1:5" ht="12.75">
      <c r="A15" s="45" t="s">
        <v>293</v>
      </c>
      <c r="B15" s="45" t="s">
        <v>294</v>
      </c>
      <c r="C15" s="250" t="s">
        <v>584</v>
      </c>
      <c r="D15" s="251"/>
      <c r="E15" s="239"/>
    </row>
    <row r="16" spans="1:5" ht="12.75">
      <c r="A16" s="47">
        <f>A14/1728</f>
        <v>0.145</v>
      </c>
      <c r="B16" s="48">
        <f>A16*C14/2</f>
        <v>362.5</v>
      </c>
      <c r="C16" s="238">
        <f>B16*0.8</f>
        <v>290</v>
      </c>
      <c r="D16" s="270"/>
      <c r="E16" s="271"/>
    </row>
    <row r="17" spans="1:5" ht="12.75">
      <c r="A17" s="43"/>
      <c r="B17" s="43"/>
      <c r="C17" s="43"/>
      <c r="D17" s="43"/>
      <c r="E17" s="43"/>
    </row>
    <row r="18" spans="1:6" ht="12.75">
      <c r="A18" s="45" t="s">
        <v>295</v>
      </c>
      <c r="B18" s="45" t="s">
        <v>296</v>
      </c>
      <c r="C18" s="45" t="s">
        <v>289</v>
      </c>
      <c r="D18" s="43"/>
      <c r="E18" s="43"/>
      <c r="F18" s="1"/>
    </row>
    <row r="19" spans="1:6" ht="12.75">
      <c r="A19" s="50">
        <f>D14*2.03</f>
        <v>20.3</v>
      </c>
      <c r="B19" s="50">
        <f>F14</f>
        <v>29</v>
      </c>
      <c r="C19" s="50">
        <f>(A19+B19)/B19</f>
        <v>1.7</v>
      </c>
      <c r="D19" s="43"/>
      <c r="E19" s="43"/>
      <c r="F19" s="1"/>
    </row>
    <row r="20" spans="1:5" ht="12.75">
      <c r="A20" s="43"/>
      <c r="B20" s="43"/>
      <c r="C20" s="43"/>
      <c r="D20" s="43"/>
      <c r="E20" s="43"/>
    </row>
    <row r="21" spans="1:6" ht="12.75">
      <c r="A21" s="45" t="s">
        <v>580</v>
      </c>
      <c r="B21" s="45" t="s">
        <v>297</v>
      </c>
      <c r="C21" s="250" t="s">
        <v>298</v>
      </c>
      <c r="D21" s="251"/>
      <c r="E21" s="239"/>
      <c r="F21" s="1"/>
    </row>
    <row r="22" spans="1:6" ht="12.75">
      <c r="A22" s="46"/>
      <c r="B22" s="46" t="s">
        <v>513</v>
      </c>
      <c r="C22" s="243" t="s">
        <v>512</v>
      </c>
      <c r="D22" s="244"/>
      <c r="E22" s="237"/>
      <c r="F22" s="1"/>
    </row>
    <row r="23" spans="1:6" ht="12.75">
      <c r="A23" s="51">
        <f>POWER(C19,0.283)-1</f>
        <v>0.16203</v>
      </c>
      <c r="B23" s="50">
        <f>E14+460</f>
        <v>530</v>
      </c>
      <c r="C23" s="240">
        <f>A23*B23</f>
        <v>85.9</v>
      </c>
      <c r="D23" s="241"/>
      <c r="E23" s="242"/>
      <c r="F23" s="1"/>
    </row>
    <row r="24" spans="1:5" ht="12.75">
      <c r="A24" s="43"/>
      <c r="B24" s="43"/>
      <c r="C24" s="43"/>
      <c r="D24" s="43"/>
      <c r="E24" s="43"/>
    </row>
    <row r="25" spans="1:5" ht="12.75">
      <c r="A25" s="45" t="s">
        <v>299</v>
      </c>
      <c r="B25" s="45" t="s">
        <v>290</v>
      </c>
      <c r="C25" s="250" t="s">
        <v>582</v>
      </c>
      <c r="D25" s="251"/>
      <c r="E25" s="239"/>
    </row>
    <row r="26" spans="1:5" ht="12.75">
      <c r="A26" s="48">
        <f>C23</f>
        <v>85.9</v>
      </c>
      <c r="B26" s="50">
        <f>G14</f>
        <v>65</v>
      </c>
      <c r="C26" s="238">
        <f>A26/(B26/100)</f>
        <v>132</v>
      </c>
      <c r="D26" s="270"/>
      <c r="E26" s="271"/>
    </row>
    <row r="27" spans="1:5" ht="12.75">
      <c r="A27" s="43"/>
      <c r="B27" s="43"/>
      <c r="C27" s="43"/>
      <c r="D27" s="43"/>
      <c r="E27" s="43"/>
    </row>
    <row r="28" spans="1:5" ht="12.75">
      <c r="A28" s="250" t="s">
        <v>583</v>
      </c>
      <c r="B28" s="239"/>
      <c r="C28" s="45" t="s">
        <v>291</v>
      </c>
      <c r="D28" s="43"/>
      <c r="E28" s="43"/>
    </row>
    <row r="29" spans="1:5" ht="12.75">
      <c r="A29" s="238">
        <f>C26+E14</f>
        <v>202</v>
      </c>
      <c r="B29" s="272"/>
      <c r="C29" s="52">
        <f>B23/(A29+460)*(A19+F14)/F14</f>
        <v>1.36</v>
      </c>
      <c r="D29" s="43"/>
      <c r="E29" s="43"/>
    </row>
    <row r="30" spans="1:5" ht="13.5" thickBot="1">
      <c r="A30" s="43"/>
      <c r="B30" s="43"/>
      <c r="C30" s="43"/>
      <c r="D30" s="43"/>
      <c r="E30" s="43"/>
    </row>
    <row r="31" spans="1:7" ht="12.75">
      <c r="A31" s="45" t="s">
        <v>301</v>
      </c>
      <c r="B31" s="45" t="s">
        <v>291</v>
      </c>
      <c r="C31" s="276" t="s">
        <v>302</v>
      </c>
      <c r="D31" s="277"/>
      <c r="E31" s="278"/>
      <c r="G31" s="42"/>
    </row>
    <row r="32" spans="1:7" ht="12.75">
      <c r="A32" s="46"/>
      <c r="B32" s="46"/>
      <c r="C32" s="273" t="s">
        <v>550</v>
      </c>
      <c r="D32" s="274"/>
      <c r="E32" s="275"/>
      <c r="G32" s="42"/>
    </row>
    <row r="33" spans="1:7" ht="13.5" thickBot="1">
      <c r="A33" s="49">
        <f>C16</f>
        <v>290</v>
      </c>
      <c r="B33" s="52">
        <f>C29</f>
        <v>1.36</v>
      </c>
      <c r="C33" s="245">
        <f>A33*B33</f>
        <v>394.4</v>
      </c>
      <c r="D33" s="246"/>
      <c r="E33" s="247"/>
      <c r="G33" s="42"/>
    </row>
    <row r="95" ht="12.75">
      <c r="C95" s="86"/>
    </row>
    <row r="101" spans="1:2" ht="12.75">
      <c r="A101" s="25"/>
      <c r="B101" s="25"/>
    </row>
    <row r="102" spans="1:2" ht="12.75">
      <c r="A102" s="8"/>
      <c r="B102" s="8"/>
    </row>
    <row r="103" spans="1:12" ht="12.75">
      <c r="A103" s="8"/>
      <c r="B103" s="8"/>
      <c r="C103" s="32"/>
      <c r="D103" s="32"/>
      <c r="E103" s="32"/>
      <c r="F103" s="32"/>
      <c r="G103" s="32"/>
      <c r="H103" s="32"/>
      <c r="I103" s="32"/>
      <c r="J103" s="32"/>
      <c r="K103" s="32"/>
      <c r="L103" s="32"/>
    </row>
    <row r="104" spans="1:12" ht="12.75">
      <c r="A104" s="8"/>
      <c r="B104" s="8"/>
      <c r="C104" s="32"/>
      <c r="D104" s="32"/>
      <c r="E104" s="32"/>
      <c r="F104" s="32"/>
      <c r="G104" s="32"/>
      <c r="H104" s="32"/>
      <c r="I104" s="32"/>
      <c r="J104" s="32"/>
      <c r="K104" s="32"/>
      <c r="L104" s="32"/>
    </row>
    <row r="105" spans="1:12" ht="12.75">
      <c r="A105" s="8"/>
      <c r="B105" s="8"/>
      <c r="C105" s="32"/>
      <c r="D105" s="32"/>
      <c r="E105" s="32"/>
      <c r="F105" s="32"/>
      <c r="G105" s="32"/>
      <c r="H105" s="32"/>
      <c r="I105" s="32"/>
      <c r="J105" s="32"/>
      <c r="K105" s="32"/>
      <c r="L105" s="32"/>
    </row>
    <row r="106" spans="1:12" ht="12.75">
      <c r="A106" s="8"/>
      <c r="B106" s="8"/>
      <c r="C106" s="32"/>
      <c r="D106" s="32"/>
      <c r="E106" s="32"/>
      <c r="F106" s="32"/>
      <c r="G106" s="32"/>
      <c r="H106" s="32"/>
      <c r="I106" s="32"/>
      <c r="J106" s="32"/>
      <c r="K106" s="32"/>
      <c r="L106" s="32"/>
    </row>
    <row r="107" spans="1:12" ht="12.75">
      <c r="A107" s="8"/>
      <c r="B107" s="8"/>
      <c r="C107" s="32"/>
      <c r="D107" s="32"/>
      <c r="E107" s="32"/>
      <c r="F107" s="32"/>
      <c r="G107" s="32"/>
      <c r="H107" s="32"/>
      <c r="I107" s="32"/>
      <c r="J107" s="32"/>
      <c r="K107" s="32"/>
      <c r="L107" s="32"/>
    </row>
    <row r="108" spans="1:12" ht="12.75">
      <c r="A108" s="8"/>
      <c r="B108" s="8"/>
      <c r="C108" s="32"/>
      <c r="D108" s="32"/>
      <c r="E108" s="32"/>
      <c r="F108" s="32"/>
      <c r="G108" s="32"/>
      <c r="H108" s="32"/>
      <c r="I108" s="32"/>
      <c r="J108" s="32"/>
      <c r="K108" s="32"/>
      <c r="L108" s="32"/>
    </row>
    <row r="109" spans="1:12" ht="12.75">
      <c r="A109" s="8"/>
      <c r="B109" s="8"/>
      <c r="C109" s="32"/>
      <c r="D109" s="32"/>
      <c r="E109" s="32"/>
      <c r="F109" s="32"/>
      <c r="G109" s="32"/>
      <c r="H109" s="32"/>
      <c r="I109" s="32"/>
      <c r="J109" s="32"/>
      <c r="K109" s="32"/>
      <c r="L109" s="32"/>
    </row>
    <row r="110" spans="1:12" ht="12.75">
      <c r="A110" s="8"/>
      <c r="B110" s="8"/>
      <c r="C110" s="32"/>
      <c r="D110" s="32"/>
      <c r="E110" s="32"/>
      <c r="F110" s="32"/>
      <c r="G110" s="32"/>
      <c r="H110" s="32"/>
      <c r="I110" s="32"/>
      <c r="J110" s="32"/>
      <c r="K110" s="32"/>
      <c r="L110" s="32"/>
    </row>
    <row r="111" spans="1:12" ht="12.75">
      <c r="A111" s="8"/>
      <c r="B111" s="8"/>
      <c r="C111" s="32"/>
      <c r="D111" s="32"/>
      <c r="E111" s="32"/>
      <c r="F111" s="32"/>
      <c r="G111" s="32"/>
      <c r="H111" s="32"/>
      <c r="I111" s="32"/>
      <c r="J111" s="32"/>
      <c r="K111" s="32"/>
      <c r="L111" s="32"/>
    </row>
    <row r="112" spans="1:12" ht="12.75">
      <c r="A112" s="8"/>
      <c r="B112" s="8"/>
      <c r="C112" s="32"/>
      <c r="D112" s="32"/>
      <c r="E112" s="32"/>
      <c r="F112" s="32"/>
      <c r="G112" s="32"/>
      <c r="H112" s="32"/>
      <c r="I112" s="32"/>
      <c r="J112" s="32"/>
      <c r="K112" s="32"/>
      <c r="L112" s="32"/>
    </row>
    <row r="113" spans="1:12" ht="12.75">
      <c r="A113" s="8"/>
      <c r="B113" s="8"/>
      <c r="C113" s="32"/>
      <c r="D113" s="32"/>
      <c r="E113" s="32"/>
      <c r="F113" s="32"/>
      <c r="G113" s="32"/>
      <c r="H113" s="32"/>
      <c r="I113" s="32"/>
      <c r="J113" s="32"/>
      <c r="K113" s="32"/>
      <c r="L113" s="32"/>
    </row>
    <row r="114" spans="1:12" ht="12.75">
      <c r="A114" s="8"/>
      <c r="B114" s="8"/>
      <c r="C114" s="32"/>
      <c r="D114" s="32"/>
      <c r="E114" s="32"/>
      <c r="F114" s="32"/>
      <c r="G114" s="32"/>
      <c r="H114" s="32"/>
      <c r="I114" s="32"/>
      <c r="J114" s="32"/>
      <c r="K114" s="32"/>
      <c r="L114" s="32"/>
    </row>
    <row r="115" spans="1:12" ht="12.75">
      <c r="A115" s="8"/>
      <c r="B115" s="8"/>
      <c r="C115" s="32"/>
      <c r="D115" s="32"/>
      <c r="E115" s="32"/>
      <c r="F115" s="32"/>
      <c r="G115" s="32"/>
      <c r="H115" s="32"/>
      <c r="I115" s="32"/>
      <c r="J115" s="32"/>
      <c r="K115" s="32"/>
      <c r="L115" s="32"/>
    </row>
    <row r="116" spans="1:12" ht="12.75">
      <c r="A116" s="8"/>
      <c r="B116" s="8"/>
      <c r="C116" s="32"/>
      <c r="D116" s="32"/>
      <c r="E116" s="32"/>
      <c r="F116" s="32"/>
      <c r="G116" s="32"/>
      <c r="H116" s="32"/>
      <c r="I116" s="32"/>
      <c r="J116" s="32"/>
      <c r="K116" s="32"/>
      <c r="L116" s="32"/>
    </row>
    <row r="117" spans="1:12" ht="12.75">
      <c r="A117" s="8"/>
      <c r="B117" s="8"/>
      <c r="C117" s="32"/>
      <c r="D117" s="32"/>
      <c r="E117" s="32"/>
      <c r="F117" s="32"/>
      <c r="G117" s="32"/>
      <c r="H117" s="32"/>
      <c r="I117" s="32"/>
      <c r="J117" s="32"/>
      <c r="K117" s="32"/>
      <c r="L117" s="32"/>
    </row>
    <row r="118" spans="1:12" ht="12.75">
      <c r="A118" s="8"/>
      <c r="B118" s="8"/>
      <c r="C118" s="32"/>
      <c r="D118" s="32"/>
      <c r="E118" s="32"/>
      <c r="F118" s="32"/>
      <c r="G118" s="32"/>
      <c r="H118" s="32"/>
      <c r="I118" s="32"/>
      <c r="J118" s="32"/>
      <c r="K118" s="32"/>
      <c r="L118" s="32"/>
    </row>
    <row r="119" spans="1:12" ht="12.75">
      <c r="A119" s="8"/>
      <c r="B119" s="8"/>
      <c r="C119" s="32"/>
      <c r="D119" s="32"/>
      <c r="E119" s="32"/>
      <c r="F119" s="32"/>
      <c r="G119" s="32"/>
      <c r="H119" s="32"/>
      <c r="I119" s="32"/>
      <c r="J119" s="32"/>
      <c r="K119" s="32"/>
      <c r="L119" s="32"/>
    </row>
    <row r="120" spans="1:12" ht="12.75">
      <c r="A120" s="8"/>
      <c r="B120" s="8"/>
      <c r="C120" s="32"/>
      <c r="D120" s="32"/>
      <c r="E120" s="32"/>
      <c r="F120" s="32"/>
      <c r="G120" s="32"/>
      <c r="H120" s="32"/>
      <c r="I120" s="32"/>
      <c r="J120" s="32"/>
      <c r="K120" s="32"/>
      <c r="L120" s="32"/>
    </row>
    <row r="121" spans="1:12" ht="12.75">
      <c r="A121" s="8"/>
      <c r="B121" s="8"/>
      <c r="C121" s="32"/>
      <c r="D121" s="32"/>
      <c r="E121" s="32"/>
      <c r="F121" s="32"/>
      <c r="G121" s="32"/>
      <c r="H121" s="32"/>
      <c r="I121" s="32"/>
      <c r="J121" s="32"/>
      <c r="K121" s="32"/>
      <c r="L121" s="32"/>
    </row>
    <row r="122" spans="1:12" ht="12.75">
      <c r="A122" s="8"/>
      <c r="B122" s="8"/>
      <c r="C122" s="32"/>
      <c r="D122" s="32"/>
      <c r="E122" s="32"/>
      <c r="F122" s="32"/>
      <c r="G122" s="32"/>
      <c r="H122" s="32"/>
      <c r="I122" s="32"/>
      <c r="J122" s="32"/>
      <c r="K122" s="32"/>
      <c r="L122" s="32"/>
    </row>
    <row r="123" spans="1:12" ht="12.75">
      <c r="A123" s="8"/>
      <c r="B123" s="8"/>
      <c r="C123" s="32"/>
      <c r="D123" s="32"/>
      <c r="E123" s="32"/>
      <c r="F123" s="32"/>
      <c r="G123" s="32"/>
      <c r="H123" s="32"/>
      <c r="I123" s="32"/>
      <c r="J123" s="32"/>
      <c r="K123" s="32"/>
      <c r="L123" s="32"/>
    </row>
    <row r="124" spans="1:12" ht="12.75">
      <c r="A124" s="8"/>
      <c r="B124" s="8"/>
      <c r="C124" s="32"/>
      <c r="D124" s="32"/>
      <c r="E124" s="32"/>
      <c r="F124" s="32"/>
      <c r="G124" s="32"/>
      <c r="H124" s="32"/>
      <c r="I124" s="32"/>
      <c r="J124" s="32"/>
      <c r="K124" s="32"/>
      <c r="L124" s="32"/>
    </row>
    <row r="125" spans="1:12" ht="12.75">
      <c r="A125" s="8"/>
      <c r="B125" s="8"/>
      <c r="C125" s="32"/>
      <c r="D125" s="32"/>
      <c r="E125" s="32"/>
      <c r="F125" s="32"/>
      <c r="G125" s="32"/>
      <c r="H125" s="32"/>
      <c r="I125" s="32"/>
      <c r="J125" s="32"/>
      <c r="K125" s="32"/>
      <c r="L125" s="32"/>
    </row>
    <row r="126" spans="1:12" ht="12.75">
      <c r="A126" s="8"/>
      <c r="B126" s="8"/>
      <c r="C126" s="32"/>
      <c r="D126" s="32"/>
      <c r="E126" s="32"/>
      <c r="F126" s="32"/>
      <c r="G126" s="32"/>
      <c r="H126" s="32"/>
      <c r="I126" s="32"/>
      <c r="J126" s="32"/>
      <c r="K126" s="32"/>
      <c r="L126" s="32"/>
    </row>
    <row r="127" spans="1:12" ht="12.75">
      <c r="A127" s="8"/>
      <c r="B127" s="8"/>
      <c r="C127" s="32"/>
      <c r="D127" s="32"/>
      <c r="E127" s="32"/>
      <c r="F127" s="32"/>
      <c r="G127" s="32"/>
      <c r="H127" s="32"/>
      <c r="I127" s="32"/>
      <c r="J127" s="32"/>
      <c r="K127" s="32"/>
      <c r="L127" s="32"/>
    </row>
    <row r="128" spans="1:12" ht="12.75">
      <c r="A128" s="8"/>
      <c r="B128" s="8"/>
      <c r="C128" s="32"/>
      <c r="D128" s="32"/>
      <c r="E128" s="32"/>
      <c r="F128" s="32"/>
      <c r="G128" s="32"/>
      <c r="H128" s="32"/>
      <c r="I128" s="32"/>
      <c r="J128" s="32"/>
      <c r="K128" s="32"/>
      <c r="L128" s="32"/>
    </row>
    <row r="129" spans="1:12" ht="12.75">
      <c r="A129" s="8"/>
      <c r="B129" s="8"/>
      <c r="C129" s="32"/>
      <c r="D129" s="32"/>
      <c r="E129" s="32"/>
      <c r="F129" s="32"/>
      <c r="G129" s="32"/>
      <c r="H129" s="32"/>
      <c r="I129" s="32"/>
      <c r="J129" s="32"/>
      <c r="K129" s="32"/>
      <c r="L129" s="32"/>
    </row>
    <row r="130" spans="1:12" ht="12.75">
      <c r="A130" s="8"/>
      <c r="B130" s="8"/>
      <c r="C130" s="32"/>
      <c r="D130" s="32"/>
      <c r="E130" s="32"/>
      <c r="F130" s="32"/>
      <c r="G130" s="32"/>
      <c r="H130" s="32"/>
      <c r="I130" s="32"/>
      <c r="J130" s="32"/>
      <c r="K130" s="32"/>
      <c r="L130" s="32"/>
    </row>
    <row r="131" spans="1:12" ht="12.75">
      <c r="A131" s="8"/>
      <c r="B131" s="8"/>
      <c r="C131" s="32"/>
      <c r="D131" s="32"/>
      <c r="E131" s="32"/>
      <c r="F131" s="32"/>
      <c r="G131" s="32"/>
      <c r="H131" s="32"/>
      <c r="I131" s="32"/>
      <c r="J131" s="32"/>
      <c r="K131" s="32"/>
      <c r="L131" s="32"/>
    </row>
    <row r="132" spans="1:12" ht="12.75">
      <c r="A132" s="8"/>
      <c r="B132" s="8"/>
      <c r="C132" s="32"/>
      <c r="D132" s="32"/>
      <c r="E132" s="32"/>
      <c r="F132" s="32"/>
      <c r="G132" s="32"/>
      <c r="H132" s="32"/>
      <c r="I132" s="32"/>
      <c r="J132" s="32"/>
      <c r="K132" s="32"/>
      <c r="L132" s="32"/>
    </row>
    <row r="133" spans="1:12" ht="12.75">
      <c r="A133" s="8"/>
      <c r="B133" s="8"/>
      <c r="C133" s="32"/>
      <c r="D133" s="32"/>
      <c r="E133" s="32"/>
      <c r="F133" s="32"/>
      <c r="G133" s="32"/>
      <c r="H133" s="32"/>
      <c r="I133" s="32"/>
      <c r="J133" s="32"/>
      <c r="K133" s="32"/>
      <c r="L133" s="32"/>
    </row>
    <row r="134" spans="1:12" ht="12.75">
      <c r="A134" s="8"/>
      <c r="B134" s="8"/>
      <c r="C134" s="32"/>
      <c r="D134" s="32"/>
      <c r="E134" s="32"/>
      <c r="F134" s="32"/>
      <c r="G134" s="32"/>
      <c r="H134" s="32"/>
      <c r="I134" s="32"/>
      <c r="J134" s="32"/>
      <c r="K134" s="32"/>
      <c r="L134" s="32"/>
    </row>
    <row r="135" spans="1:12" ht="12.75">
      <c r="A135" s="8"/>
      <c r="B135" s="8"/>
      <c r="C135" s="32"/>
      <c r="D135" s="32"/>
      <c r="E135" s="32"/>
      <c r="F135" s="32"/>
      <c r="G135" s="32"/>
      <c r="H135" s="32"/>
      <c r="I135" s="32"/>
      <c r="J135" s="32"/>
      <c r="K135" s="32"/>
      <c r="L135" s="32"/>
    </row>
    <row r="136" spans="1:12" ht="12.75">
      <c r="A136" s="8"/>
      <c r="B136" s="8"/>
      <c r="C136" s="32"/>
      <c r="D136" s="32"/>
      <c r="E136" s="32"/>
      <c r="F136" s="32"/>
      <c r="G136" s="32"/>
      <c r="H136" s="32"/>
      <c r="I136" s="32"/>
      <c r="J136" s="32"/>
      <c r="K136" s="32"/>
      <c r="L136" s="32"/>
    </row>
    <row r="137" spans="1:12" ht="12.75">
      <c r="A137" s="8"/>
      <c r="B137" s="8"/>
      <c r="C137" s="32"/>
      <c r="D137" s="32"/>
      <c r="E137" s="32"/>
      <c r="F137" s="32"/>
      <c r="G137" s="32"/>
      <c r="H137" s="32"/>
      <c r="I137" s="32"/>
      <c r="J137" s="32"/>
      <c r="K137" s="32"/>
      <c r="L137" s="32"/>
    </row>
    <row r="138" spans="1:12" ht="12.75">
      <c r="A138" s="8"/>
      <c r="B138" s="8"/>
      <c r="C138" s="32"/>
      <c r="D138" s="32"/>
      <c r="E138" s="32"/>
      <c r="F138" s="32"/>
      <c r="G138" s="32"/>
      <c r="H138" s="32"/>
      <c r="I138" s="32"/>
      <c r="J138" s="32"/>
      <c r="K138" s="32"/>
      <c r="L138" s="32"/>
    </row>
    <row r="139" spans="1:12" ht="12.75">
      <c r="A139" s="8"/>
      <c r="B139" s="8"/>
      <c r="C139" s="32"/>
      <c r="D139" s="32"/>
      <c r="E139" s="32"/>
      <c r="F139" s="32"/>
      <c r="G139" s="32"/>
      <c r="H139" s="32"/>
      <c r="I139" s="32"/>
      <c r="J139" s="32"/>
      <c r="K139" s="32"/>
      <c r="L139" s="32"/>
    </row>
    <row r="140" spans="1:12" ht="12.75">
      <c r="A140" s="8"/>
      <c r="B140" s="8"/>
      <c r="C140" s="32"/>
      <c r="D140" s="32"/>
      <c r="E140" s="32"/>
      <c r="F140" s="32"/>
      <c r="G140" s="32"/>
      <c r="H140" s="32"/>
      <c r="I140" s="32"/>
      <c r="J140" s="32"/>
      <c r="K140" s="32"/>
      <c r="L140" s="32"/>
    </row>
    <row r="141" spans="1:12" ht="12.75">
      <c r="A141" s="8"/>
      <c r="B141" s="8"/>
      <c r="C141" s="32"/>
      <c r="D141" s="32"/>
      <c r="E141" s="32"/>
      <c r="F141" s="32"/>
      <c r="G141" s="32"/>
      <c r="H141" s="32"/>
      <c r="I141" s="32"/>
      <c r="J141" s="32"/>
      <c r="K141" s="32"/>
      <c r="L141" s="32"/>
    </row>
    <row r="142" spans="1:12" ht="12.75">
      <c r="A142" s="8"/>
      <c r="B142" s="8"/>
      <c r="C142" s="32"/>
      <c r="D142" s="32"/>
      <c r="E142" s="32"/>
      <c r="F142" s="32"/>
      <c r="G142" s="32"/>
      <c r="H142" s="32"/>
      <c r="I142" s="32"/>
      <c r="J142" s="32"/>
      <c r="K142" s="32"/>
      <c r="L142" s="32"/>
    </row>
    <row r="143" spans="1:12" ht="12.75">
      <c r="A143" s="8"/>
      <c r="B143" s="8"/>
      <c r="C143" s="32"/>
      <c r="D143" s="32"/>
      <c r="E143" s="32"/>
      <c r="F143" s="32"/>
      <c r="G143" s="32"/>
      <c r="H143" s="32"/>
      <c r="I143" s="32"/>
      <c r="J143" s="32"/>
      <c r="K143" s="32"/>
      <c r="L143" s="32"/>
    </row>
    <row r="144" spans="1:12" ht="12.75">
      <c r="A144" s="8"/>
      <c r="B144" s="8"/>
      <c r="C144" s="32"/>
      <c r="D144" s="32"/>
      <c r="E144" s="32"/>
      <c r="F144" s="32"/>
      <c r="G144" s="32"/>
      <c r="H144" s="32"/>
      <c r="I144" s="32"/>
      <c r="J144" s="32"/>
      <c r="K144" s="32"/>
      <c r="L144" s="32"/>
    </row>
    <row r="145" spans="1:12" ht="12.75">
      <c r="A145" s="8"/>
      <c r="B145" s="8"/>
      <c r="C145" s="32"/>
      <c r="D145" s="32"/>
      <c r="E145" s="32"/>
      <c r="F145" s="32"/>
      <c r="G145" s="32"/>
      <c r="H145" s="32"/>
      <c r="I145" s="32"/>
      <c r="J145" s="32"/>
      <c r="K145" s="32"/>
      <c r="L145" s="32"/>
    </row>
    <row r="146" spans="1:12" ht="12.75">
      <c r="A146" s="8"/>
      <c r="B146" s="8"/>
      <c r="C146" s="32"/>
      <c r="D146" s="32"/>
      <c r="E146" s="32"/>
      <c r="F146" s="32"/>
      <c r="G146" s="32"/>
      <c r="H146" s="32"/>
      <c r="I146" s="32"/>
      <c r="J146" s="32"/>
      <c r="K146" s="32"/>
      <c r="L146" s="32"/>
    </row>
    <row r="147" spans="1:12" ht="12.75">
      <c r="A147" s="8"/>
      <c r="B147" s="8"/>
      <c r="C147" s="32"/>
      <c r="D147" s="32"/>
      <c r="E147" s="32"/>
      <c r="F147" s="32"/>
      <c r="G147" s="32"/>
      <c r="H147" s="32"/>
      <c r="I147" s="32"/>
      <c r="J147" s="32"/>
      <c r="K147" s="32"/>
      <c r="L147" s="32"/>
    </row>
    <row r="148" spans="1:12" ht="12.75">
      <c r="A148" s="8"/>
      <c r="B148" s="8"/>
      <c r="C148" s="32"/>
      <c r="D148" s="32"/>
      <c r="E148" s="32"/>
      <c r="F148" s="32"/>
      <c r="G148" s="32"/>
      <c r="H148" s="32"/>
      <c r="I148" s="32"/>
      <c r="J148" s="32"/>
      <c r="K148" s="32"/>
      <c r="L148" s="32"/>
    </row>
    <row r="149" spans="1:12" ht="12.75">
      <c r="A149" s="8"/>
      <c r="B149" s="8"/>
      <c r="C149" s="32"/>
      <c r="D149" s="32"/>
      <c r="E149" s="32"/>
      <c r="F149" s="32"/>
      <c r="G149" s="32"/>
      <c r="H149" s="32"/>
      <c r="I149" s="32"/>
      <c r="J149" s="32"/>
      <c r="K149" s="32"/>
      <c r="L149" s="32"/>
    </row>
    <row r="150" spans="1:12" ht="12.75">
      <c r="A150" s="8"/>
      <c r="B150" s="8"/>
      <c r="C150" s="32"/>
      <c r="D150" s="32"/>
      <c r="E150" s="32"/>
      <c r="F150" s="32"/>
      <c r="G150" s="32"/>
      <c r="H150" s="32"/>
      <c r="I150" s="32"/>
      <c r="J150" s="32"/>
      <c r="K150" s="32"/>
      <c r="L150" s="32"/>
    </row>
    <row r="151" spans="1:12" ht="12.75">
      <c r="A151" s="8"/>
      <c r="B151" s="8"/>
      <c r="C151" s="32"/>
      <c r="D151" s="32"/>
      <c r="E151" s="32"/>
      <c r="F151" s="32"/>
      <c r="G151" s="32"/>
      <c r="H151" s="32"/>
      <c r="I151" s="32"/>
      <c r="J151" s="32"/>
      <c r="K151" s="32"/>
      <c r="L151" s="32"/>
    </row>
    <row r="152" spans="1:12" ht="12.75">
      <c r="A152" s="8"/>
      <c r="B152" s="8"/>
      <c r="C152" s="32"/>
      <c r="D152" s="32"/>
      <c r="E152" s="32"/>
      <c r="F152" s="32"/>
      <c r="G152" s="32"/>
      <c r="H152" s="32"/>
      <c r="I152" s="32"/>
      <c r="J152" s="32"/>
      <c r="K152" s="32"/>
      <c r="L152" s="32"/>
    </row>
    <row r="153" spans="1:12" ht="12.75">
      <c r="A153" s="8"/>
      <c r="B153" s="8"/>
      <c r="C153" s="32"/>
      <c r="D153" s="32"/>
      <c r="E153" s="32"/>
      <c r="F153" s="32"/>
      <c r="G153" s="32"/>
      <c r="H153" s="32"/>
      <c r="I153" s="32"/>
      <c r="J153" s="32"/>
      <c r="K153" s="32"/>
      <c r="L153" s="32"/>
    </row>
    <row r="154" spans="1:12" ht="12.75">
      <c r="A154" s="8"/>
      <c r="B154" s="8"/>
      <c r="C154" s="32"/>
      <c r="D154" s="32"/>
      <c r="E154" s="32"/>
      <c r="F154" s="32"/>
      <c r="G154" s="32"/>
      <c r="H154" s="32"/>
      <c r="I154" s="32"/>
      <c r="J154" s="32"/>
      <c r="K154" s="32"/>
      <c r="L154" s="32"/>
    </row>
    <row r="155" spans="1:12" ht="12.75">
      <c r="A155" s="8"/>
      <c r="B155" s="8"/>
      <c r="C155" s="32"/>
      <c r="D155" s="32"/>
      <c r="E155" s="32"/>
      <c r="F155" s="32"/>
      <c r="G155" s="32"/>
      <c r="H155" s="32"/>
      <c r="I155" s="32"/>
      <c r="J155" s="32"/>
      <c r="K155" s="32"/>
      <c r="L155" s="32"/>
    </row>
    <row r="156" spans="1:12" ht="12.75">
      <c r="A156" s="8"/>
      <c r="B156" s="8"/>
      <c r="C156" s="32"/>
      <c r="D156" s="32"/>
      <c r="E156" s="32"/>
      <c r="F156" s="32"/>
      <c r="G156" s="32"/>
      <c r="H156" s="32"/>
      <c r="I156" s="32"/>
      <c r="J156" s="32"/>
      <c r="K156" s="32"/>
      <c r="L156" s="32"/>
    </row>
    <row r="157" spans="1:12" ht="12.75">
      <c r="A157" s="8"/>
      <c r="B157" s="8"/>
      <c r="C157" s="32"/>
      <c r="D157" s="32"/>
      <c r="E157" s="32"/>
      <c r="F157" s="32"/>
      <c r="G157" s="32"/>
      <c r="H157" s="32"/>
      <c r="I157" s="32"/>
      <c r="J157" s="32"/>
      <c r="K157" s="32"/>
      <c r="L157" s="32"/>
    </row>
    <row r="158" spans="1:12" ht="12.75">
      <c r="A158" s="8"/>
      <c r="B158" s="8"/>
      <c r="C158" s="32"/>
      <c r="D158" s="32"/>
      <c r="E158" s="32"/>
      <c r="F158" s="32"/>
      <c r="G158" s="32"/>
      <c r="H158" s="32"/>
      <c r="I158" s="32"/>
      <c r="J158" s="32"/>
      <c r="K158" s="32"/>
      <c r="L158" s="32"/>
    </row>
    <row r="159" spans="1:12" ht="12.75">
      <c r="A159" s="8"/>
      <c r="B159" s="8"/>
      <c r="C159" s="32"/>
      <c r="D159" s="32"/>
      <c r="E159" s="32"/>
      <c r="F159" s="32"/>
      <c r="G159" s="32"/>
      <c r="H159" s="32"/>
      <c r="I159" s="32"/>
      <c r="J159" s="32"/>
      <c r="K159" s="32"/>
      <c r="L159" s="32"/>
    </row>
    <row r="160" spans="1:12" ht="12.75">
      <c r="A160" s="8"/>
      <c r="B160" s="8"/>
      <c r="C160" s="32"/>
      <c r="D160" s="32"/>
      <c r="E160" s="32"/>
      <c r="F160" s="32"/>
      <c r="G160" s="32"/>
      <c r="H160" s="32"/>
      <c r="I160" s="32"/>
      <c r="J160" s="32"/>
      <c r="K160" s="32"/>
      <c r="L160" s="32"/>
    </row>
    <row r="161" spans="1:12" ht="12.75">
      <c r="A161" s="8"/>
      <c r="B161" s="8"/>
      <c r="C161" s="32"/>
      <c r="D161" s="32"/>
      <c r="E161" s="32"/>
      <c r="F161" s="32"/>
      <c r="G161" s="32"/>
      <c r="H161" s="32"/>
      <c r="I161" s="32"/>
      <c r="J161" s="32"/>
      <c r="K161" s="32"/>
      <c r="L161" s="32"/>
    </row>
    <row r="162" spans="1:12" ht="12.75">
      <c r="A162" s="8"/>
      <c r="B162" s="8"/>
      <c r="C162" s="32"/>
      <c r="D162" s="32"/>
      <c r="E162" s="32"/>
      <c r="F162" s="32"/>
      <c r="G162" s="32"/>
      <c r="H162" s="32"/>
      <c r="I162" s="32"/>
      <c r="J162" s="32"/>
      <c r="K162" s="32"/>
      <c r="L162" s="32"/>
    </row>
    <row r="163" spans="1:12" ht="12.75">
      <c r="A163" s="8"/>
      <c r="B163" s="8"/>
      <c r="C163" s="32"/>
      <c r="D163" s="32"/>
      <c r="E163" s="32"/>
      <c r="F163" s="32"/>
      <c r="G163" s="32"/>
      <c r="H163" s="32"/>
      <c r="I163" s="32"/>
      <c r="J163" s="32"/>
      <c r="K163" s="32"/>
      <c r="L163" s="32"/>
    </row>
    <row r="164" spans="1:12" ht="12.75">
      <c r="A164" s="8"/>
      <c r="B164" s="8"/>
      <c r="C164" s="32"/>
      <c r="D164" s="32"/>
      <c r="E164" s="32"/>
      <c r="F164" s="32"/>
      <c r="G164" s="32"/>
      <c r="H164" s="32"/>
      <c r="I164" s="32"/>
      <c r="J164" s="32"/>
      <c r="K164" s="32"/>
      <c r="L164" s="32"/>
    </row>
    <row r="165" spans="1:12" ht="12.75">
      <c r="A165" s="8"/>
      <c r="B165" s="8"/>
      <c r="C165" s="32"/>
      <c r="D165" s="32"/>
      <c r="E165" s="32"/>
      <c r="F165" s="32"/>
      <c r="G165" s="32"/>
      <c r="H165" s="32"/>
      <c r="I165" s="32"/>
      <c r="J165" s="32"/>
      <c r="K165" s="32"/>
      <c r="L165" s="32"/>
    </row>
    <row r="166" spans="1:12" ht="12.75">
      <c r="A166" s="8"/>
      <c r="B166" s="8"/>
      <c r="C166" s="32"/>
      <c r="D166" s="32"/>
      <c r="E166" s="32"/>
      <c r="F166" s="32"/>
      <c r="G166" s="32"/>
      <c r="H166" s="32"/>
      <c r="I166" s="32"/>
      <c r="J166" s="32"/>
      <c r="K166" s="32"/>
      <c r="L166" s="32"/>
    </row>
    <row r="167" spans="1:12" ht="12.75">
      <c r="A167" s="8"/>
      <c r="B167" s="8"/>
      <c r="C167" s="32"/>
      <c r="D167" s="32"/>
      <c r="E167" s="32"/>
      <c r="F167" s="32"/>
      <c r="G167" s="32"/>
      <c r="H167" s="32"/>
      <c r="I167" s="32"/>
      <c r="J167" s="32"/>
      <c r="K167" s="32"/>
      <c r="L167" s="32"/>
    </row>
    <row r="168" spans="1:12" ht="12.75">
      <c r="A168" s="8"/>
      <c r="B168" s="8"/>
      <c r="C168" s="32"/>
      <c r="D168" s="32"/>
      <c r="E168" s="32"/>
      <c r="F168" s="32"/>
      <c r="G168" s="32"/>
      <c r="H168" s="32"/>
      <c r="I168" s="32"/>
      <c r="J168" s="32"/>
      <c r="K168" s="32"/>
      <c r="L168" s="32"/>
    </row>
    <row r="169" spans="1:12" ht="12.75">
      <c r="A169" s="8"/>
      <c r="B169" s="8"/>
      <c r="C169" s="32"/>
      <c r="D169" s="32"/>
      <c r="E169" s="32"/>
      <c r="F169" s="32"/>
      <c r="G169" s="32"/>
      <c r="H169" s="32"/>
      <c r="I169" s="32"/>
      <c r="J169" s="32"/>
      <c r="K169" s="32"/>
      <c r="L169" s="32"/>
    </row>
    <row r="170" spans="1:12" ht="12.75">
      <c r="A170" s="8"/>
      <c r="B170" s="8"/>
      <c r="C170" s="32"/>
      <c r="D170" s="32"/>
      <c r="E170" s="32"/>
      <c r="F170" s="32"/>
      <c r="G170" s="32"/>
      <c r="H170" s="32"/>
      <c r="I170" s="32"/>
      <c r="J170" s="32"/>
      <c r="K170" s="32"/>
      <c r="L170" s="32"/>
    </row>
    <row r="171" spans="1:12" ht="12.75">
      <c r="A171" s="8"/>
      <c r="B171" s="8"/>
      <c r="C171" s="32"/>
      <c r="D171" s="32"/>
      <c r="E171" s="32"/>
      <c r="F171" s="32"/>
      <c r="G171" s="32"/>
      <c r="H171" s="32"/>
      <c r="I171" s="32"/>
      <c r="J171" s="32"/>
      <c r="K171" s="32"/>
      <c r="L171" s="32"/>
    </row>
    <row r="172" spans="1:12" ht="12.75">
      <c r="A172" s="8"/>
      <c r="B172" s="8"/>
      <c r="C172" s="32"/>
      <c r="D172" s="32"/>
      <c r="E172" s="32"/>
      <c r="F172" s="32"/>
      <c r="G172" s="32"/>
      <c r="H172" s="32"/>
      <c r="I172" s="32"/>
      <c r="J172" s="32"/>
      <c r="K172" s="32"/>
      <c r="L172" s="32"/>
    </row>
    <row r="173" spans="1:12" ht="12.75">
      <c r="A173" s="8"/>
      <c r="B173" s="8"/>
      <c r="C173" s="32"/>
      <c r="D173" s="32"/>
      <c r="E173" s="32"/>
      <c r="F173" s="32"/>
      <c r="G173" s="32"/>
      <c r="H173" s="32"/>
      <c r="I173" s="32"/>
      <c r="J173" s="32"/>
      <c r="K173" s="32"/>
      <c r="L173" s="32"/>
    </row>
    <row r="174" spans="1:12" ht="12.75">
      <c r="A174" s="8"/>
      <c r="B174" s="8"/>
      <c r="C174" s="32"/>
      <c r="D174" s="32"/>
      <c r="E174" s="32"/>
      <c r="F174" s="32"/>
      <c r="G174" s="32"/>
      <c r="H174" s="32"/>
      <c r="I174" s="32"/>
      <c r="J174" s="32"/>
      <c r="K174" s="32"/>
      <c r="L174" s="32"/>
    </row>
    <row r="175" spans="1:12" ht="12.75">
      <c r="A175" s="8"/>
      <c r="B175" s="8"/>
      <c r="C175" s="32"/>
      <c r="D175" s="32"/>
      <c r="E175" s="32"/>
      <c r="F175" s="32"/>
      <c r="G175" s="32"/>
      <c r="H175" s="32"/>
      <c r="I175" s="32"/>
      <c r="J175" s="32"/>
      <c r="K175" s="32"/>
      <c r="L175" s="32"/>
    </row>
    <row r="176" spans="1:12" ht="12.75">
      <c r="A176" s="8"/>
      <c r="B176" s="8"/>
      <c r="C176" s="32"/>
      <c r="D176" s="32"/>
      <c r="E176" s="32"/>
      <c r="F176" s="32"/>
      <c r="G176" s="32"/>
      <c r="H176" s="32"/>
      <c r="I176" s="32"/>
      <c r="J176" s="32"/>
      <c r="K176" s="32"/>
      <c r="L176" s="32"/>
    </row>
    <row r="177" spans="1:12" ht="12.75">
      <c r="A177" s="8"/>
      <c r="B177" s="8"/>
      <c r="C177" s="32"/>
      <c r="D177" s="32"/>
      <c r="E177" s="32"/>
      <c r="F177" s="32"/>
      <c r="G177" s="32"/>
      <c r="H177" s="32"/>
      <c r="I177" s="32"/>
      <c r="J177" s="32"/>
      <c r="K177" s="32"/>
      <c r="L177" s="32"/>
    </row>
    <row r="178" spans="1:12" ht="12.75">
      <c r="A178" s="8"/>
      <c r="B178" s="8"/>
      <c r="C178" s="32"/>
      <c r="D178" s="32"/>
      <c r="E178" s="32"/>
      <c r="F178" s="32"/>
      <c r="G178" s="32"/>
      <c r="H178" s="32"/>
      <c r="I178" s="32"/>
      <c r="J178" s="32"/>
      <c r="K178" s="32"/>
      <c r="L178" s="32"/>
    </row>
    <row r="179" spans="1:12" ht="12.75">
      <c r="A179" s="8"/>
      <c r="B179" s="8"/>
      <c r="C179" s="32"/>
      <c r="D179" s="32"/>
      <c r="E179" s="32"/>
      <c r="F179" s="32"/>
      <c r="G179" s="32"/>
      <c r="H179" s="32"/>
      <c r="I179" s="32"/>
      <c r="J179" s="32"/>
      <c r="K179" s="32"/>
      <c r="L179" s="32"/>
    </row>
    <row r="180" spans="1:12" ht="12.75">
      <c r="A180" s="8"/>
      <c r="B180" s="8"/>
      <c r="C180" s="32"/>
      <c r="D180" s="32"/>
      <c r="E180" s="32"/>
      <c r="F180" s="32"/>
      <c r="G180" s="32"/>
      <c r="H180" s="32"/>
      <c r="I180" s="32"/>
      <c r="J180" s="32"/>
      <c r="K180" s="32"/>
      <c r="L180" s="32"/>
    </row>
    <row r="181" spans="1:12" ht="12.75">
      <c r="A181" s="8"/>
      <c r="B181" s="8"/>
      <c r="C181" s="32"/>
      <c r="D181" s="32"/>
      <c r="E181" s="32"/>
      <c r="F181" s="32"/>
      <c r="G181" s="32"/>
      <c r="H181" s="32"/>
      <c r="I181" s="32"/>
      <c r="J181" s="32"/>
      <c r="K181" s="32"/>
      <c r="L181" s="32"/>
    </row>
    <row r="182" spans="1:12" ht="12.75">
      <c r="A182" s="8"/>
      <c r="B182" s="8"/>
      <c r="C182" s="32"/>
      <c r="D182" s="32"/>
      <c r="E182" s="32"/>
      <c r="F182" s="32"/>
      <c r="G182" s="32"/>
      <c r="H182" s="32"/>
      <c r="I182" s="32"/>
      <c r="J182" s="32"/>
      <c r="K182" s="32"/>
      <c r="L182" s="32"/>
    </row>
    <row r="183" spans="1:12" ht="12.75">
      <c r="A183" s="8"/>
      <c r="B183" s="8"/>
      <c r="C183" s="32"/>
      <c r="D183" s="32"/>
      <c r="E183" s="32"/>
      <c r="F183" s="32"/>
      <c r="G183" s="32"/>
      <c r="H183" s="32"/>
      <c r="I183" s="32"/>
      <c r="J183" s="32"/>
      <c r="K183" s="32"/>
      <c r="L183" s="32"/>
    </row>
    <row r="184" spans="1:12" ht="12.75">
      <c r="A184" s="8"/>
      <c r="B184" s="8"/>
      <c r="C184" s="32"/>
      <c r="D184" s="32"/>
      <c r="E184" s="32"/>
      <c r="F184" s="32"/>
      <c r="G184" s="32"/>
      <c r="H184" s="32"/>
      <c r="I184" s="32"/>
      <c r="J184" s="32"/>
      <c r="K184" s="32"/>
      <c r="L184" s="32"/>
    </row>
    <row r="185" spans="1:12" ht="12.75">
      <c r="A185" s="8"/>
      <c r="B185" s="8"/>
      <c r="C185" s="32"/>
      <c r="D185" s="32"/>
      <c r="E185" s="32"/>
      <c r="F185" s="32"/>
      <c r="G185" s="32"/>
      <c r="H185" s="32"/>
      <c r="I185" s="32"/>
      <c r="J185" s="32"/>
      <c r="K185" s="32"/>
      <c r="L185" s="32"/>
    </row>
    <row r="186" spans="1:12" ht="12.75">
      <c r="A186" s="8"/>
      <c r="B186" s="8"/>
      <c r="C186" s="32"/>
      <c r="D186" s="32"/>
      <c r="E186" s="32"/>
      <c r="F186" s="32"/>
      <c r="G186" s="32"/>
      <c r="H186" s="32"/>
      <c r="I186" s="32"/>
      <c r="J186" s="32"/>
      <c r="K186" s="32"/>
      <c r="L186" s="32"/>
    </row>
    <row r="187" spans="1:12" ht="12.75">
      <c r="A187" s="8"/>
      <c r="B187" s="8"/>
      <c r="C187" s="32"/>
      <c r="D187" s="32"/>
      <c r="E187" s="32"/>
      <c r="F187" s="32"/>
      <c r="G187" s="32"/>
      <c r="H187" s="32"/>
      <c r="I187" s="32"/>
      <c r="J187" s="32"/>
      <c r="K187" s="32"/>
      <c r="L187" s="32"/>
    </row>
    <row r="188" spans="1:12" ht="12.75">
      <c r="A188" s="8"/>
      <c r="B188" s="8"/>
      <c r="C188" s="32"/>
      <c r="D188" s="32"/>
      <c r="E188" s="32"/>
      <c r="F188" s="32"/>
      <c r="G188" s="32"/>
      <c r="H188" s="32"/>
      <c r="I188" s="32"/>
      <c r="J188" s="32"/>
      <c r="K188" s="32"/>
      <c r="L188" s="32"/>
    </row>
    <row r="189" spans="1:12" ht="12.75">
      <c r="A189" s="8"/>
      <c r="B189" s="8"/>
      <c r="C189" s="32"/>
      <c r="D189" s="32"/>
      <c r="E189" s="32"/>
      <c r="F189" s="32"/>
      <c r="G189" s="32"/>
      <c r="H189" s="32"/>
      <c r="I189" s="32"/>
      <c r="J189" s="32"/>
      <c r="K189" s="32"/>
      <c r="L189" s="32"/>
    </row>
    <row r="190" spans="1:12" ht="12.75">
      <c r="A190" s="8"/>
      <c r="B190" s="8"/>
      <c r="C190" s="32"/>
      <c r="D190" s="32"/>
      <c r="E190" s="32"/>
      <c r="F190" s="32"/>
      <c r="G190" s="32"/>
      <c r="H190" s="32"/>
      <c r="I190" s="32"/>
      <c r="J190" s="32"/>
      <c r="K190" s="32"/>
      <c r="L190" s="32"/>
    </row>
    <row r="191" spans="1:12" ht="12.75">
      <c r="A191" s="8"/>
      <c r="B191" s="8"/>
      <c r="C191" s="32"/>
      <c r="D191" s="32"/>
      <c r="E191" s="32"/>
      <c r="F191" s="32"/>
      <c r="G191" s="32"/>
      <c r="H191" s="32"/>
      <c r="I191" s="32"/>
      <c r="J191" s="32"/>
      <c r="K191" s="32"/>
      <c r="L191" s="32"/>
    </row>
    <row r="192" spans="1:12" ht="12.75">
      <c r="A192" s="8"/>
      <c r="B192" s="8"/>
      <c r="C192" s="32"/>
      <c r="D192" s="32"/>
      <c r="E192" s="32"/>
      <c r="F192" s="32"/>
      <c r="G192" s="32"/>
      <c r="H192" s="32"/>
      <c r="I192" s="32"/>
      <c r="J192" s="32"/>
      <c r="K192" s="32"/>
      <c r="L192" s="32"/>
    </row>
    <row r="193" spans="1:12" ht="12.75">
      <c r="A193" s="8"/>
      <c r="B193" s="8"/>
      <c r="C193" s="32"/>
      <c r="D193" s="32"/>
      <c r="E193" s="32"/>
      <c r="F193" s="32"/>
      <c r="G193" s="32"/>
      <c r="H193" s="32"/>
      <c r="I193" s="32"/>
      <c r="J193" s="32"/>
      <c r="K193" s="32"/>
      <c r="L193" s="32"/>
    </row>
    <row r="194" spans="1:12" ht="12.75">
      <c r="A194" s="8"/>
      <c r="B194" s="8"/>
      <c r="C194" s="32"/>
      <c r="D194" s="32"/>
      <c r="E194" s="32"/>
      <c r="F194" s="32"/>
      <c r="G194" s="32"/>
      <c r="H194" s="32"/>
      <c r="I194" s="32"/>
      <c r="J194" s="32"/>
      <c r="K194" s="32"/>
      <c r="L194" s="32"/>
    </row>
    <row r="195" spans="1:12" ht="12.75">
      <c r="A195" s="8"/>
      <c r="B195" s="8"/>
      <c r="C195" s="32"/>
      <c r="D195" s="32"/>
      <c r="E195" s="32"/>
      <c r="F195" s="32"/>
      <c r="G195" s="32"/>
      <c r="H195" s="32"/>
      <c r="I195" s="32"/>
      <c r="J195" s="32"/>
      <c r="K195" s="32"/>
      <c r="L195" s="32"/>
    </row>
    <row r="196" spans="1:12" ht="12.75">
      <c r="A196" s="8"/>
      <c r="B196" s="8"/>
      <c r="C196" s="32"/>
      <c r="D196" s="32"/>
      <c r="E196" s="32"/>
      <c r="F196" s="32"/>
      <c r="G196" s="32"/>
      <c r="H196" s="32"/>
      <c r="I196" s="32"/>
      <c r="J196" s="32"/>
      <c r="K196" s="32"/>
      <c r="L196" s="32"/>
    </row>
    <row r="197" spans="1:12" ht="12.75">
      <c r="A197" s="8"/>
      <c r="B197" s="8"/>
      <c r="C197" s="32"/>
      <c r="D197" s="32"/>
      <c r="E197" s="32"/>
      <c r="F197" s="32"/>
      <c r="G197" s="32"/>
      <c r="H197" s="32"/>
      <c r="I197" s="32"/>
      <c r="J197" s="32"/>
      <c r="K197" s="32"/>
      <c r="L197" s="32"/>
    </row>
    <row r="198" spans="1:12" ht="12.75">
      <c r="A198" s="8"/>
      <c r="B198" s="8"/>
      <c r="C198" s="32"/>
      <c r="D198" s="32"/>
      <c r="E198" s="32"/>
      <c r="F198" s="32"/>
      <c r="G198" s="32"/>
      <c r="H198" s="32"/>
      <c r="I198" s="32"/>
      <c r="J198" s="32"/>
      <c r="K198" s="32"/>
      <c r="L198" s="32"/>
    </row>
    <row r="199" spans="1:12" ht="12.75">
      <c r="A199" s="8"/>
      <c r="B199" s="8"/>
      <c r="C199" s="32"/>
      <c r="D199" s="32"/>
      <c r="E199" s="32"/>
      <c r="F199" s="32"/>
      <c r="G199" s="32"/>
      <c r="H199" s="32"/>
      <c r="I199" s="32"/>
      <c r="J199" s="32"/>
      <c r="K199" s="32"/>
      <c r="L199" s="32"/>
    </row>
    <row r="200" spans="1:12" ht="12.75">
      <c r="A200" s="8"/>
      <c r="B200" s="8"/>
      <c r="C200" s="32"/>
      <c r="D200" s="32"/>
      <c r="E200" s="32"/>
      <c r="F200" s="32"/>
      <c r="G200" s="32"/>
      <c r="H200" s="32"/>
      <c r="I200" s="32"/>
      <c r="J200" s="32"/>
      <c r="K200" s="32"/>
      <c r="L200" s="32"/>
    </row>
    <row r="201" spans="1:12" ht="12.75">
      <c r="A201" s="8"/>
      <c r="B201" s="8"/>
      <c r="C201" s="32"/>
      <c r="D201" s="32"/>
      <c r="E201" s="32"/>
      <c r="F201" s="32"/>
      <c r="G201" s="32"/>
      <c r="H201" s="32"/>
      <c r="I201" s="32"/>
      <c r="J201" s="32"/>
      <c r="K201" s="32"/>
      <c r="L201" s="32"/>
    </row>
    <row r="202" spans="1:12" ht="12.75">
      <c r="A202" s="8"/>
      <c r="B202" s="8"/>
      <c r="C202" s="32"/>
      <c r="D202" s="32"/>
      <c r="E202" s="32"/>
      <c r="F202" s="32"/>
      <c r="G202" s="32"/>
      <c r="H202" s="32"/>
      <c r="I202" s="32"/>
      <c r="J202" s="32"/>
      <c r="K202" s="32"/>
      <c r="L202" s="32"/>
    </row>
    <row r="203" spans="1:12" ht="12.75">
      <c r="A203" s="8"/>
      <c r="B203" s="8"/>
      <c r="C203" s="32"/>
      <c r="D203" s="32"/>
      <c r="E203" s="32"/>
      <c r="F203" s="32"/>
      <c r="G203" s="32"/>
      <c r="H203" s="32"/>
      <c r="I203" s="32"/>
      <c r="J203" s="32"/>
      <c r="K203" s="32"/>
      <c r="L203" s="32"/>
    </row>
    <row r="204" spans="1:12" ht="12.75">
      <c r="A204" s="8"/>
      <c r="B204" s="8"/>
      <c r="C204" s="32"/>
      <c r="D204" s="32"/>
      <c r="E204" s="32"/>
      <c r="F204" s="32"/>
      <c r="G204" s="32"/>
      <c r="H204" s="32"/>
      <c r="I204" s="32"/>
      <c r="J204" s="32"/>
      <c r="K204" s="32"/>
      <c r="L204" s="32"/>
    </row>
    <row r="205" spans="1:12" ht="12.75">
      <c r="A205" s="8"/>
      <c r="B205" s="8"/>
      <c r="C205" s="32"/>
      <c r="D205" s="32"/>
      <c r="E205" s="32"/>
      <c r="F205" s="32"/>
      <c r="G205" s="32"/>
      <c r="H205" s="32"/>
      <c r="I205" s="32"/>
      <c r="J205" s="32"/>
      <c r="K205" s="32"/>
      <c r="L205" s="32"/>
    </row>
    <row r="206" spans="1:12" ht="12.75">
      <c r="A206" s="8"/>
      <c r="B206" s="8"/>
      <c r="C206" s="32"/>
      <c r="D206" s="32"/>
      <c r="E206" s="32"/>
      <c r="F206" s="32"/>
      <c r="G206" s="32"/>
      <c r="H206" s="32"/>
      <c r="I206" s="32"/>
      <c r="J206" s="32"/>
      <c r="K206" s="32"/>
      <c r="L206" s="32"/>
    </row>
    <row r="207" spans="1:12" ht="12.75">
      <c r="A207" s="8"/>
      <c r="B207" s="8"/>
      <c r="C207" s="32"/>
      <c r="D207" s="32"/>
      <c r="E207" s="32"/>
      <c r="F207" s="32"/>
      <c r="G207" s="32"/>
      <c r="H207" s="32"/>
      <c r="I207" s="32"/>
      <c r="J207" s="32"/>
      <c r="K207" s="32"/>
      <c r="L207" s="32"/>
    </row>
    <row r="208" spans="1:12" ht="12.75">
      <c r="A208" s="8"/>
      <c r="B208" s="8"/>
      <c r="C208" s="32"/>
      <c r="D208" s="32"/>
      <c r="E208" s="32"/>
      <c r="F208" s="32"/>
      <c r="G208" s="32"/>
      <c r="H208" s="32"/>
      <c r="I208" s="32"/>
      <c r="J208" s="32"/>
      <c r="K208" s="32"/>
      <c r="L208" s="32"/>
    </row>
    <row r="209" spans="1:12" ht="12.75">
      <c r="A209" s="8"/>
      <c r="B209" s="8"/>
      <c r="C209" s="32"/>
      <c r="D209" s="32"/>
      <c r="E209" s="32"/>
      <c r="F209" s="32"/>
      <c r="G209" s="32"/>
      <c r="H209" s="32"/>
      <c r="I209" s="32"/>
      <c r="J209" s="32"/>
      <c r="K209" s="32"/>
      <c r="L209" s="32"/>
    </row>
    <row r="210" spans="1:12" ht="12.75">
      <c r="A210" s="8"/>
      <c r="B210" s="8"/>
      <c r="C210" s="32"/>
      <c r="D210" s="32"/>
      <c r="E210" s="32"/>
      <c r="F210" s="32"/>
      <c r="G210" s="32"/>
      <c r="H210" s="32"/>
      <c r="I210" s="32"/>
      <c r="J210" s="32"/>
      <c r="K210" s="32"/>
      <c r="L210" s="32"/>
    </row>
    <row r="211" spans="1:12" ht="12.75">
      <c r="A211" s="8"/>
      <c r="B211" s="8"/>
      <c r="C211" s="32"/>
      <c r="D211" s="32"/>
      <c r="E211" s="32"/>
      <c r="F211" s="32"/>
      <c r="G211" s="32"/>
      <c r="H211" s="32"/>
      <c r="I211" s="32"/>
      <c r="J211" s="32"/>
      <c r="K211" s="32"/>
      <c r="L211" s="32"/>
    </row>
    <row r="212" spans="1:12" ht="12.75">
      <c r="A212" s="8"/>
      <c r="B212" s="8"/>
      <c r="C212" s="32"/>
      <c r="D212" s="32"/>
      <c r="E212" s="32"/>
      <c r="F212" s="32"/>
      <c r="G212" s="32"/>
      <c r="H212" s="32"/>
      <c r="I212" s="32"/>
      <c r="J212" s="32"/>
      <c r="K212" s="32"/>
      <c r="L212" s="32"/>
    </row>
    <row r="213" spans="1:12" ht="12.75">
      <c r="A213" s="8"/>
      <c r="B213" s="8"/>
      <c r="C213" s="32"/>
      <c r="D213" s="32"/>
      <c r="E213" s="32"/>
      <c r="F213" s="32"/>
      <c r="G213" s="32"/>
      <c r="H213" s="32"/>
      <c r="I213" s="32"/>
      <c r="J213" s="32"/>
      <c r="K213" s="32"/>
      <c r="L213" s="32"/>
    </row>
    <row r="214" spans="1:12" ht="12.75">
      <c r="A214" s="8"/>
      <c r="B214" s="8"/>
      <c r="C214" s="32"/>
      <c r="D214" s="32"/>
      <c r="E214" s="32"/>
      <c r="F214" s="32"/>
      <c r="G214" s="32"/>
      <c r="H214" s="32"/>
      <c r="I214" s="32"/>
      <c r="J214" s="32"/>
      <c r="K214" s="32"/>
      <c r="L214" s="32"/>
    </row>
    <row r="215" spans="1:12" ht="12.75">
      <c r="A215" s="8"/>
      <c r="B215" s="8"/>
      <c r="C215" s="32"/>
      <c r="D215" s="32"/>
      <c r="E215" s="32"/>
      <c r="F215" s="32"/>
      <c r="G215" s="32"/>
      <c r="H215" s="32"/>
      <c r="I215" s="32"/>
      <c r="J215" s="32"/>
      <c r="K215" s="32"/>
      <c r="L215" s="32"/>
    </row>
    <row r="216" spans="1:12" ht="12.75">
      <c r="A216" s="8"/>
      <c r="B216" s="8"/>
      <c r="C216" s="32"/>
      <c r="D216" s="32"/>
      <c r="E216" s="32"/>
      <c r="F216" s="32"/>
      <c r="G216" s="32"/>
      <c r="H216" s="32"/>
      <c r="I216" s="32"/>
      <c r="J216" s="32"/>
      <c r="K216" s="32"/>
      <c r="L216" s="32"/>
    </row>
    <row r="217" spans="1:12" ht="12.75">
      <c r="A217" s="8"/>
      <c r="B217" s="8"/>
      <c r="C217" s="32"/>
      <c r="D217" s="32"/>
      <c r="E217" s="32"/>
      <c r="F217" s="32"/>
      <c r="G217" s="32"/>
      <c r="H217" s="32"/>
      <c r="I217" s="32"/>
      <c r="J217" s="32"/>
      <c r="K217" s="32"/>
      <c r="L217" s="32"/>
    </row>
    <row r="218" spans="1:12" ht="12.75">
      <c r="A218" s="8"/>
      <c r="B218" s="8"/>
      <c r="C218" s="32"/>
      <c r="D218" s="32"/>
      <c r="E218" s="32"/>
      <c r="F218" s="32"/>
      <c r="G218" s="32"/>
      <c r="H218" s="32"/>
      <c r="I218" s="32"/>
      <c r="J218" s="32"/>
      <c r="K218" s="32"/>
      <c r="L218" s="32"/>
    </row>
    <row r="219" spans="1:12" ht="12.75">
      <c r="A219" s="8"/>
      <c r="B219" s="8"/>
      <c r="C219" s="32"/>
      <c r="D219" s="32"/>
      <c r="E219" s="32"/>
      <c r="F219" s="32"/>
      <c r="G219" s="32"/>
      <c r="H219" s="32"/>
      <c r="I219" s="32"/>
      <c r="J219" s="32"/>
      <c r="K219" s="32"/>
      <c r="L219" s="32"/>
    </row>
    <row r="220" spans="1:12" ht="12.75">
      <c r="A220" s="8"/>
      <c r="B220" s="8"/>
      <c r="C220" s="32"/>
      <c r="D220" s="32"/>
      <c r="E220" s="32"/>
      <c r="F220" s="32"/>
      <c r="G220" s="32"/>
      <c r="H220" s="32"/>
      <c r="I220" s="32"/>
      <c r="J220" s="32"/>
      <c r="K220" s="32"/>
      <c r="L220" s="32"/>
    </row>
    <row r="221" spans="1:12" ht="12.75">
      <c r="A221" s="8"/>
      <c r="B221" s="8"/>
      <c r="C221" s="32"/>
      <c r="D221" s="32"/>
      <c r="E221" s="32"/>
      <c r="F221" s="32"/>
      <c r="G221" s="32"/>
      <c r="H221" s="32"/>
      <c r="I221" s="32"/>
      <c r="J221" s="32"/>
      <c r="K221" s="32"/>
      <c r="L221" s="32"/>
    </row>
    <row r="222" spans="1:12" ht="12.75">
      <c r="A222" s="8"/>
      <c r="B222" s="8"/>
      <c r="C222" s="32"/>
      <c r="D222" s="32"/>
      <c r="E222" s="32"/>
      <c r="F222" s="32"/>
      <c r="G222" s="32"/>
      <c r="H222" s="32"/>
      <c r="I222" s="32"/>
      <c r="J222" s="32"/>
      <c r="K222" s="32"/>
      <c r="L222" s="32"/>
    </row>
    <row r="223" spans="1:12" ht="12.75">
      <c r="A223" s="8"/>
      <c r="B223" s="8"/>
      <c r="C223" s="32"/>
      <c r="D223" s="32"/>
      <c r="E223" s="32"/>
      <c r="F223" s="32"/>
      <c r="G223" s="32"/>
      <c r="H223" s="32"/>
      <c r="I223" s="32"/>
      <c r="J223" s="32"/>
      <c r="K223" s="32"/>
      <c r="L223" s="32"/>
    </row>
    <row r="224" spans="1:12" ht="12.75">
      <c r="A224" s="8"/>
      <c r="B224" s="8"/>
      <c r="C224" s="32"/>
      <c r="D224" s="32"/>
      <c r="E224" s="32"/>
      <c r="F224" s="32"/>
      <c r="G224" s="32"/>
      <c r="H224" s="32"/>
      <c r="I224" s="32"/>
      <c r="J224" s="32"/>
      <c r="K224" s="32"/>
      <c r="L224" s="32"/>
    </row>
    <row r="225" spans="1:12" ht="12.75">
      <c r="A225" s="8"/>
      <c r="B225" s="8"/>
      <c r="C225" s="32"/>
      <c r="D225" s="32"/>
      <c r="E225" s="32"/>
      <c r="F225" s="32"/>
      <c r="G225" s="32"/>
      <c r="H225" s="32"/>
      <c r="I225" s="32"/>
      <c r="J225" s="32"/>
      <c r="K225" s="32"/>
      <c r="L225" s="32"/>
    </row>
    <row r="226" spans="1:12" ht="12.75">
      <c r="A226" s="8"/>
      <c r="B226" s="8"/>
      <c r="C226" s="32"/>
      <c r="D226" s="32"/>
      <c r="E226" s="32"/>
      <c r="F226" s="32"/>
      <c r="G226" s="32"/>
      <c r="H226" s="32"/>
      <c r="I226" s="32"/>
      <c r="J226" s="32"/>
      <c r="K226" s="32"/>
      <c r="L226" s="32"/>
    </row>
    <row r="227" spans="1:12" ht="12.75">
      <c r="A227" s="8"/>
      <c r="B227" s="8"/>
      <c r="C227" s="32"/>
      <c r="D227" s="32"/>
      <c r="E227" s="32"/>
      <c r="F227" s="32"/>
      <c r="G227" s="32"/>
      <c r="H227" s="32"/>
      <c r="I227" s="32"/>
      <c r="J227" s="32"/>
      <c r="K227" s="32"/>
      <c r="L227" s="32"/>
    </row>
    <row r="228" spans="1:12" ht="12.75">
      <c r="A228" s="8"/>
      <c r="B228" s="8"/>
      <c r="C228" s="32"/>
      <c r="D228" s="32"/>
      <c r="E228" s="32"/>
      <c r="F228" s="32"/>
      <c r="G228" s="32"/>
      <c r="H228" s="32"/>
      <c r="I228" s="32"/>
      <c r="J228" s="32"/>
      <c r="K228" s="32"/>
      <c r="L228" s="32"/>
    </row>
    <row r="229" spans="1:12" ht="12.75">
      <c r="A229" s="8"/>
      <c r="B229" s="8"/>
      <c r="C229" s="32"/>
      <c r="D229" s="32"/>
      <c r="E229" s="32"/>
      <c r="F229" s="32"/>
      <c r="G229" s="32"/>
      <c r="H229" s="32"/>
      <c r="I229" s="32"/>
      <c r="J229" s="32"/>
      <c r="K229" s="32"/>
      <c r="L229" s="32"/>
    </row>
    <row r="230" spans="1:12" ht="12.75">
      <c r="A230" s="8"/>
      <c r="B230" s="8"/>
      <c r="C230" s="32"/>
      <c r="D230" s="32"/>
      <c r="E230" s="32"/>
      <c r="F230" s="32"/>
      <c r="G230" s="32"/>
      <c r="H230" s="32"/>
      <c r="I230" s="32"/>
      <c r="J230" s="32"/>
      <c r="K230" s="32"/>
      <c r="L230" s="32"/>
    </row>
    <row r="231" spans="1:12" ht="12.75">
      <c r="A231" s="8"/>
      <c r="B231" s="8"/>
      <c r="C231" s="32"/>
      <c r="D231" s="32"/>
      <c r="E231" s="32"/>
      <c r="F231" s="32"/>
      <c r="G231" s="32"/>
      <c r="H231" s="32"/>
      <c r="I231" s="32"/>
      <c r="J231" s="32"/>
      <c r="K231" s="32"/>
      <c r="L231" s="32"/>
    </row>
    <row r="232" spans="1:12" ht="12.75">
      <c r="A232" s="8"/>
      <c r="B232" s="8"/>
      <c r="C232" s="32"/>
      <c r="D232" s="32"/>
      <c r="E232" s="32"/>
      <c r="F232" s="32"/>
      <c r="G232" s="32"/>
      <c r="H232" s="32"/>
      <c r="I232" s="32"/>
      <c r="J232" s="32"/>
      <c r="K232" s="32"/>
      <c r="L232" s="32"/>
    </row>
    <row r="233" spans="1:12" ht="12.75">
      <c r="A233" s="8"/>
      <c r="B233" s="8"/>
      <c r="C233" s="32"/>
      <c r="D233" s="32"/>
      <c r="E233" s="32"/>
      <c r="F233" s="32"/>
      <c r="G233" s="32"/>
      <c r="H233" s="32"/>
      <c r="I233" s="32"/>
      <c r="J233" s="32"/>
      <c r="K233" s="32"/>
      <c r="L233" s="32"/>
    </row>
    <row r="234" spans="1:12" ht="12.75">
      <c r="A234" s="8"/>
      <c r="B234" s="8"/>
      <c r="C234" s="32"/>
      <c r="D234" s="32"/>
      <c r="E234" s="32"/>
      <c r="F234" s="32"/>
      <c r="G234" s="32"/>
      <c r="H234" s="32"/>
      <c r="I234" s="32"/>
      <c r="J234" s="32"/>
      <c r="K234" s="32"/>
      <c r="L234" s="32"/>
    </row>
    <row r="235" spans="1:12" ht="12.75">
      <c r="A235" s="8"/>
      <c r="B235" s="8"/>
      <c r="C235" s="32"/>
      <c r="D235" s="32"/>
      <c r="E235" s="32"/>
      <c r="F235" s="32"/>
      <c r="G235" s="32"/>
      <c r="H235" s="32"/>
      <c r="I235" s="32"/>
      <c r="J235" s="32"/>
      <c r="K235" s="32"/>
      <c r="L235" s="32"/>
    </row>
    <row r="236" spans="1:12" ht="12.75">
      <c r="A236" s="8"/>
      <c r="B236" s="8"/>
      <c r="C236" s="32"/>
      <c r="D236" s="32"/>
      <c r="E236" s="32"/>
      <c r="F236" s="32"/>
      <c r="G236" s="32"/>
      <c r="H236" s="32"/>
      <c r="I236" s="32"/>
      <c r="J236" s="32"/>
      <c r="K236" s="32"/>
      <c r="L236" s="32"/>
    </row>
    <row r="237" spans="1:12" ht="12.75">
      <c r="A237" s="8"/>
      <c r="B237" s="8"/>
      <c r="C237" s="32"/>
      <c r="D237" s="32"/>
      <c r="E237" s="32"/>
      <c r="F237" s="32"/>
      <c r="G237" s="32"/>
      <c r="H237" s="32"/>
      <c r="I237" s="32"/>
      <c r="J237" s="32"/>
      <c r="K237" s="32"/>
      <c r="L237" s="32"/>
    </row>
    <row r="238" spans="1:12" ht="12.75">
      <c r="A238" s="8"/>
      <c r="B238" s="8"/>
      <c r="C238" s="32"/>
      <c r="D238" s="32"/>
      <c r="E238" s="32"/>
      <c r="F238" s="32"/>
      <c r="G238" s="32"/>
      <c r="H238" s="32"/>
      <c r="I238" s="32"/>
      <c r="J238" s="32"/>
      <c r="K238" s="32"/>
      <c r="L238" s="32"/>
    </row>
    <row r="239" spans="1:12" ht="12.75">
      <c r="A239" s="8"/>
      <c r="B239" s="8"/>
      <c r="C239" s="32"/>
      <c r="D239" s="32"/>
      <c r="E239" s="32"/>
      <c r="F239" s="32"/>
      <c r="G239" s="32"/>
      <c r="H239" s="32"/>
      <c r="I239" s="32"/>
      <c r="J239" s="32"/>
      <c r="K239" s="32"/>
      <c r="L239" s="32"/>
    </row>
    <row r="240" spans="1:12" ht="12.75">
      <c r="A240" s="8"/>
      <c r="B240" s="8"/>
      <c r="C240" s="32"/>
      <c r="D240" s="32"/>
      <c r="E240" s="32"/>
      <c r="F240" s="32"/>
      <c r="G240" s="32"/>
      <c r="H240" s="32"/>
      <c r="I240" s="32"/>
      <c r="J240" s="32"/>
      <c r="K240" s="32"/>
      <c r="L240" s="32"/>
    </row>
    <row r="241" spans="1:12" ht="12.75">
      <c r="A241" s="8"/>
      <c r="B241" s="8"/>
      <c r="C241" s="32"/>
      <c r="D241" s="32"/>
      <c r="E241" s="32"/>
      <c r="F241" s="32"/>
      <c r="G241" s="32"/>
      <c r="H241" s="32"/>
      <c r="I241" s="32"/>
      <c r="J241" s="32"/>
      <c r="K241" s="32"/>
      <c r="L241" s="32"/>
    </row>
    <row r="242" spans="1:12" ht="12.75">
      <c r="A242" s="8"/>
      <c r="B242" s="8"/>
      <c r="C242" s="32"/>
      <c r="D242" s="32"/>
      <c r="E242" s="32"/>
      <c r="F242" s="32"/>
      <c r="G242" s="32"/>
      <c r="H242" s="32"/>
      <c r="I242" s="32"/>
      <c r="J242" s="32"/>
      <c r="K242" s="32"/>
      <c r="L242" s="32"/>
    </row>
    <row r="243" spans="1:12" ht="12.75">
      <c r="A243" s="8"/>
      <c r="B243" s="8"/>
      <c r="C243" s="32"/>
      <c r="D243" s="32"/>
      <c r="E243" s="32"/>
      <c r="F243" s="32"/>
      <c r="G243" s="32"/>
      <c r="H243" s="32"/>
      <c r="I243" s="32"/>
      <c r="J243" s="32"/>
      <c r="K243" s="32"/>
      <c r="L243" s="32"/>
    </row>
    <row r="244" spans="1:12" ht="12.75">
      <c r="A244" s="8"/>
      <c r="B244" s="8"/>
      <c r="C244" s="32"/>
      <c r="D244" s="32"/>
      <c r="E244" s="32"/>
      <c r="F244" s="32"/>
      <c r="G244" s="32"/>
      <c r="H244" s="32"/>
      <c r="I244" s="32"/>
      <c r="J244" s="32"/>
      <c r="K244" s="32"/>
      <c r="L244" s="32"/>
    </row>
    <row r="245" spans="1:12" ht="12.75">
      <c r="A245" s="8"/>
      <c r="B245" s="8"/>
      <c r="C245" s="32"/>
      <c r="D245" s="32"/>
      <c r="E245" s="32"/>
      <c r="F245" s="32"/>
      <c r="G245" s="32"/>
      <c r="H245" s="32"/>
      <c r="I245" s="32"/>
      <c r="J245" s="32"/>
      <c r="K245" s="32"/>
      <c r="L245" s="32"/>
    </row>
    <row r="246" spans="1:12" ht="12.75">
      <c r="A246" s="8"/>
      <c r="B246" s="8"/>
      <c r="C246" s="32"/>
      <c r="D246" s="32"/>
      <c r="E246" s="32"/>
      <c r="F246" s="32"/>
      <c r="G246" s="32"/>
      <c r="H246" s="32"/>
      <c r="I246" s="32"/>
      <c r="J246" s="32"/>
      <c r="K246" s="32"/>
      <c r="L246" s="32"/>
    </row>
    <row r="247" spans="1:12" ht="12.75">
      <c r="A247" s="8"/>
      <c r="B247" s="8"/>
      <c r="C247" s="32"/>
      <c r="D247" s="32"/>
      <c r="E247" s="32"/>
      <c r="F247" s="32"/>
      <c r="G247" s="32"/>
      <c r="H247" s="32"/>
      <c r="I247" s="32"/>
      <c r="J247" s="32"/>
      <c r="K247" s="32"/>
      <c r="L247" s="32"/>
    </row>
    <row r="248" spans="1:12" ht="12.75">
      <c r="A248" s="8"/>
      <c r="B248" s="8"/>
      <c r="C248" s="32"/>
      <c r="D248" s="32"/>
      <c r="E248" s="32"/>
      <c r="F248" s="32"/>
      <c r="G248" s="32"/>
      <c r="H248" s="32"/>
      <c r="I248" s="32"/>
      <c r="J248" s="32"/>
      <c r="K248" s="32"/>
      <c r="L248" s="32"/>
    </row>
    <row r="249" spans="1:12" ht="12.75">
      <c r="A249" s="8"/>
      <c r="B249" s="8"/>
      <c r="C249" s="32"/>
      <c r="D249" s="32"/>
      <c r="E249" s="32"/>
      <c r="F249" s="32"/>
      <c r="G249" s="32"/>
      <c r="H249" s="32"/>
      <c r="I249" s="32"/>
      <c r="J249" s="32"/>
      <c r="K249" s="32"/>
      <c r="L249" s="32"/>
    </row>
    <row r="250" spans="1:12" ht="12.75">
      <c r="A250" s="8"/>
      <c r="B250" s="8"/>
      <c r="C250" s="32"/>
      <c r="D250" s="32"/>
      <c r="E250" s="32"/>
      <c r="F250" s="32"/>
      <c r="G250" s="32"/>
      <c r="H250" s="32"/>
      <c r="I250" s="32"/>
      <c r="J250" s="32"/>
      <c r="K250" s="32"/>
      <c r="L250" s="32"/>
    </row>
    <row r="251" spans="1:12" ht="12.75">
      <c r="A251" s="8"/>
      <c r="B251" s="8"/>
      <c r="C251" s="32"/>
      <c r="D251" s="32"/>
      <c r="E251" s="32"/>
      <c r="F251" s="32"/>
      <c r="G251" s="32"/>
      <c r="H251" s="32"/>
      <c r="I251" s="32"/>
      <c r="J251" s="32"/>
      <c r="K251" s="32"/>
      <c r="L251" s="32"/>
    </row>
    <row r="252" spans="1:12" ht="12.75">
      <c r="A252" s="8"/>
      <c r="B252" s="8"/>
      <c r="C252" s="32"/>
      <c r="D252" s="32"/>
      <c r="E252" s="32"/>
      <c r="F252" s="32"/>
      <c r="G252" s="32"/>
      <c r="H252" s="32"/>
      <c r="I252" s="32"/>
      <c r="J252" s="32"/>
      <c r="K252" s="32"/>
      <c r="L252" s="32"/>
    </row>
    <row r="253" spans="1:12" ht="12.75">
      <c r="A253" s="8"/>
      <c r="B253" s="8"/>
      <c r="C253" s="32"/>
      <c r="D253" s="32"/>
      <c r="E253" s="32"/>
      <c r="F253" s="32"/>
      <c r="G253" s="32"/>
      <c r="H253" s="32"/>
      <c r="I253" s="32"/>
      <c r="J253" s="32"/>
      <c r="K253" s="32"/>
      <c r="L253" s="32"/>
    </row>
    <row r="254" spans="1:12" ht="12.75">
      <c r="A254" s="8"/>
      <c r="B254" s="8"/>
      <c r="C254" s="32"/>
      <c r="D254" s="32"/>
      <c r="E254" s="32"/>
      <c r="F254" s="32"/>
      <c r="G254" s="32"/>
      <c r="H254" s="32"/>
      <c r="I254" s="32"/>
      <c r="J254" s="32"/>
      <c r="K254" s="32"/>
      <c r="L254" s="32"/>
    </row>
    <row r="255" spans="1:12" ht="12.75">
      <c r="A255" s="8"/>
      <c r="B255" s="8"/>
      <c r="C255" s="32"/>
      <c r="D255" s="32"/>
      <c r="E255" s="32"/>
      <c r="F255" s="32"/>
      <c r="G255" s="32"/>
      <c r="H255" s="32"/>
      <c r="I255" s="32"/>
      <c r="J255" s="32"/>
      <c r="K255" s="32"/>
      <c r="L255" s="32"/>
    </row>
    <row r="256" spans="1:12" ht="12.75">
      <c r="A256" s="8"/>
      <c r="B256" s="8"/>
      <c r="C256" s="32"/>
      <c r="D256" s="32"/>
      <c r="E256" s="32"/>
      <c r="F256" s="32"/>
      <c r="G256" s="32"/>
      <c r="H256" s="32"/>
      <c r="I256" s="32"/>
      <c r="J256" s="32"/>
      <c r="K256" s="32"/>
      <c r="L256" s="32"/>
    </row>
    <row r="257" spans="1:12" ht="12.75">
      <c r="A257" s="8"/>
      <c r="B257" s="8"/>
      <c r="C257" s="32"/>
      <c r="D257" s="32"/>
      <c r="E257" s="32"/>
      <c r="F257" s="32"/>
      <c r="G257" s="32"/>
      <c r="H257" s="32"/>
      <c r="I257" s="32"/>
      <c r="J257" s="32"/>
      <c r="K257" s="32"/>
      <c r="L257" s="32"/>
    </row>
    <row r="258" spans="1:12" ht="12.75">
      <c r="A258" s="8"/>
      <c r="B258" s="8"/>
      <c r="C258" s="32"/>
      <c r="D258" s="32"/>
      <c r="E258" s="32"/>
      <c r="F258" s="32"/>
      <c r="G258" s="32"/>
      <c r="H258" s="32"/>
      <c r="I258" s="32"/>
      <c r="J258" s="32"/>
      <c r="K258" s="32"/>
      <c r="L258" s="32"/>
    </row>
    <row r="259" spans="1:12" ht="12.75">
      <c r="A259" s="8"/>
      <c r="B259" s="8"/>
      <c r="C259" s="32"/>
      <c r="D259" s="32"/>
      <c r="E259" s="32"/>
      <c r="F259" s="32"/>
      <c r="G259" s="32"/>
      <c r="H259" s="32"/>
      <c r="I259" s="32"/>
      <c r="J259" s="32"/>
      <c r="K259" s="32"/>
      <c r="L259" s="32"/>
    </row>
    <row r="260" spans="1:12" ht="12.75">
      <c r="A260" s="8"/>
      <c r="B260" s="8"/>
      <c r="C260" s="32"/>
      <c r="D260" s="32"/>
      <c r="E260" s="32"/>
      <c r="F260" s="32"/>
      <c r="G260" s="32"/>
      <c r="H260" s="32"/>
      <c r="I260" s="32"/>
      <c r="J260" s="32"/>
      <c r="K260" s="32"/>
      <c r="L260" s="32"/>
    </row>
    <row r="261" spans="1:12" ht="12.75">
      <c r="A261" s="8"/>
      <c r="B261" s="8"/>
      <c r="C261" s="32"/>
      <c r="D261" s="32"/>
      <c r="E261" s="32"/>
      <c r="F261" s="32"/>
      <c r="G261" s="32"/>
      <c r="H261" s="32"/>
      <c r="I261" s="32"/>
      <c r="J261" s="32"/>
      <c r="K261" s="32"/>
      <c r="L261" s="32"/>
    </row>
    <row r="262" spans="1:12" ht="12.75">
      <c r="A262" s="8"/>
      <c r="B262" s="8"/>
      <c r="C262" s="32"/>
      <c r="D262" s="32"/>
      <c r="E262" s="32"/>
      <c r="F262" s="32"/>
      <c r="G262" s="32"/>
      <c r="H262" s="32"/>
      <c r="I262" s="32"/>
      <c r="J262" s="32"/>
      <c r="K262" s="32"/>
      <c r="L262" s="32"/>
    </row>
    <row r="263" spans="1:12" ht="12.75">
      <c r="A263" s="8"/>
      <c r="B263" s="8"/>
      <c r="C263" s="32"/>
      <c r="D263" s="32"/>
      <c r="E263" s="32"/>
      <c r="F263" s="32"/>
      <c r="G263" s="32"/>
      <c r="H263" s="32"/>
      <c r="I263" s="32"/>
      <c r="J263" s="32"/>
      <c r="K263" s="32"/>
      <c r="L263" s="32"/>
    </row>
    <row r="264" spans="1:12" ht="12.75">
      <c r="A264" s="8"/>
      <c r="B264" s="8"/>
      <c r="C264" s="32"/>
      <c r="D264" s="32"/>
      <c r="E264" s="32"/>
      <c r="F264" s="32"/>
      <c r="G264" s="32"/>
      <c r="H264" s="32"/>
      <c r="I264" s="32"/>
      <c r="J264" s="32"/>
      <c r="K264" s="32"/>
      <c r="L264" s="32"/>
    </row>
    <row r="265" spans="1:12" ht="12.75">
      <c r="A265" s="8"/>
      <c r="B265" s="8"/>
      <c r="C265" s="32"/>
      <c r="D265" s="32"/>
      <c r="E265" s="32"/>
      <c r="F265" s="32"/>
      <c r="G265" s="32"/>
      <c r="H265" s="32"/>
      <c r="I265" s="32"/>
      <c r="J265" s="32"/>
      <c r="K265" s="32"/>
      <c r="L265" s="32"/>
    </row>
    <row r="266" spans="1:12" ht="12.75">
      <c r="A266" s="8"/>
      <c r="B266" s="8"/>
      <c r="C266" s="32"/>
      <c r="D266" s="32"/>
      <c r="E266" s="32"/>
      <c r="F266" s="32"/>
      <c r="G266" s="32"/>
      <c r="H266" s="32"/>
      <c r="I266" s="32"/>
      <c r="J266" s="32"/>
      <c r="K266" s="32"/>
      <c r="L266" s="32"/>
    </row>
    <row r="267" spans="1:12" ht="12.75">
      <c r="A267" s="8"/>
      <c r="B267" s="8"/>
      <c r="C267" s="32"/>
      <c r="D267" s="32"/>
      <c r="E267" s="32"/>
      <c r="F267" s="32"/>
      <c r="G267" s="32"/>
      <c r="H267" s="32"/>
      <c r="I267" s="32"/>
      <c r="J267" s="32"/>
      <c r="K267" s="32"/>
      <c r="L267" s="32"/>
    </row>
    <row r="268" spans="1:12" ht="12.75">
      <c r="A268" s="8"/>
      <c r="B268" s="8"/>
      <c r="C268" s="32"/>
      <c r="D268" s="32"/>
      <c r="E268" s="32"/>
      <c r="F268" s="32"/>
      <c r="G268" s="32"/>
      <c r="H268" s="32"/>
      <c r="I268" s="32"/>
      <c r="J268" s="32"/>
      <c r="K268" s="32"/>
      <c r="L268" s="32"/>
    </row>
    <row r="269" spans="1:12" ht="12.75">
      <c r="A269" s="8"/>
      <c r="B269" s="8"/>
      <c r="C269" s="32"/>
      <c r="D269" s="32"/>
      <c r="E269" s="32"/>
      <c r="F269" s="32"/>
      <c r="G269" s="32"/>
      <c r="H269" s="32"/>
      <c r="I269" s="32"/>
      <c r="J269" s="32"/>
      <c r="K269" s="32"/>
      <c r="L269" s="32"/>
    </row>
    <row r="270" spans="1:12" ht="12.75">
      <c r="A270" s="8"/>
      <c r="B270" s="8"/>
      <c r="C270" s="32"/>
      <c r="D270" s="32"/>
      <c r="E270" s="32"/>
      <c r="F270" s="32"/>
      <c r="G270" s="32"/>
      <c r="H270" s="32"/>
      <c r="I270" s="32"/>
      <c r="J270" s="32"/>
      <c r="K270" s="32"/>
      <c r="L270" s="32"/>
    </row>
    <row r="271" spans="1:12" ht="12.75">
      <c r="A271" s="8"/>
      <c r="B271" s="8"/>
      <c r="C271" s="32"/>
      <c r="D271" s="32"/>
      <c r="E271" s="32"/>
      <c r="F271" s="32"/>
      <c r="G271" s="32"/>
      <c r="H271" s="32"/>
      <c r="I271" s="32"/>
      <c r="J271" s="32"/>
      <c r="K271" s="32"/>
      <c r="L271" s="32"/>
    </row>
    <row r="272" spans="1:12" ht="12.75">
      <c r="A272" s="8"/>
      <c r="B272" s="8"/>
      <c r="C272" s="32"/>
      <c r="D272" s="32"/>
      <c r="E272" s="32"/>
      <c r="F272" s="32"/>
      <c r="G272" s="32"/>
      <c r="H272" s="32"/>
      <c r="I272" s="32"/>
      <c r="J272" s="32"/>
      <c r="K272" s="32"/>
      <c r="L272" s="32"/>
    </row>
    <row r="273" spans="1:12" ht="12.75">
      <c r="A273" s="8"/>
      <c r="B273" s="8"/>
      <c r="C273" s="32"/>
      <c r="D273" s="32"/>
      <c r="E273" s="32"/>
      <c r="F273" s="32"/>
      <c r="G273" s="32"/>
      <c r="H273" s="32"/>
      <c r="I273" s="32"/>
      <c r="J273" s="32"/>
      <c r="K273" s="32"/>
      <c r="L273" s="32"/>
    </row>
    <row r="274" spans="1:12" ht="12.75">
      <c r="A274" s="8"/>
      <c r="B274" s="8"/>
      <c r="C274" s="32"/>
      <c r="D274" s="32"/>
      <c r="E274" s="32"/>
      <c r="F274" s="32"/>
      <c r="G274" s="32"/>
      <c r="H274" s="32"/>
      <c r="I274" s="32"/>
      <c r="J274" s="32"/>
      <c r="K274" s="32"/>
      <c r="L274" s="32"/>
    </row>
    <row r="275" spans="1:12" ht="12.75">
      <c r="A275" s="8"/>
      <c r="B275" s="8"/>
      <c r="C275" s="32"/>
      <c r="D275" s="32"/>
      <c r="E275" s="32"/>
      <c r="F275" s="32"/>
      <c r="G275" s="32"/>
      <c r="H275" s="32"/>
      <c r="I275" s="32"/>
      <c r="J275" s="32"/>
      <c r="K275" s="32"/>
      <c r="L275" s="32"/>
    </row>
    <row r="276" spans="1:12" ht="12.75">
      <c r="A276" s="8"/>
      <c r="B276" s="8"/>
      <c r="C276" s="32"/>
      <c r="D276" s="32"/>
      <c r="E276" s="32"/>
      <c r="F276" s="32"/>
      <c r="G276" s="32"/>
      <c r="H276" s="32"/>
      <c r="I276" s="32"/>
      <c r="J276" s="32"/>
      <c r="K276" s="32"/>
      <c r="L276" s="32"/>
    </row>
    <row r="277" spans="1:12" ht="12.75">
      <c r="A277" s="8"/>
      <c r="B277" s="8"/>
      <c r="C277" s="32"/>
      <c r="D277" s="32"/>
      <c r="E277" s="32"/>
      <c r="F277" s="32"/>
      <c r="G277" s="32"/>
      <c r="H277" s="32"/>
      <c r="I277" s="32"/>
      <c r="J277" s="32"/>
      <c r="K277" s="32"/>
      <c r="L277" s="32"/>
    </row>
    <row r="278" spans="1:12" ht="12.75">
      <c r="A278" s="8"/>
      <c r="B278" s="8"/>
      <c r="C278" s="32"/>
      <c r="D278" s="32"/>
      <c r="E278" s="32"/>
      <c r="F278" s="32"/>
      <c r="G278" s="32"/>
      <c r="H278" s="32"/>
      <c r="I278" s="32"/>
      <c r="J278" s="32"/>
      <c r="K278" s="32"/>
      <c r="L278" s="32"/>
    </row>
    <row r="279" spans="1:12" ht="12.75">
      <c r="A279" s="8"/>
      <c r="B279" s="8"/>
      <c r="C279" s="32"/>
      <c r="D279" s="32"/>
      <c r="E279" s="32"/>
      <c r="F279" s="32"/>
      <c r="G279" s="32"/>
      <c r="H279" s="32"/>
      <c r="I279" s="32"/>
      <c r="J279" s="32"/>
      <c r="K279" s="32"/>
      <c r="L279" s="32"/>
    </row>
    <row r="280" spans="1:12" ht="12.75">
      <c r="A280" s="8"/>
      <c r="B280" s="8"/>
      <c r="C280" s="32"/>
      <c r="D280" s="32"/>
      <c r="E280" s="32"/>
      <c r="F280" s="32"/>
      <c r="G280" s="32"/>
      <c r="H280" s="32"/>
      <c r="I280" s="32"/>
      <c r="J280" s="32"/>
      <c r="K280" s="32"/>
      <c r="L280" s="32"/>
    </row>
    <row r="281" spans="1:12" ht="12.75">
      <c r="A281" s="8"/>
      <c r="B281" s="8"/>
      <c r="C281" s="32"/>
      <c r="D281" s="32"/>
      <c r="E281" s="32"/>
      <c r="F281" s="32"/>
      <c r="G281" s="32"/>
      <c r="H281" s="32"/>
      <c r="I281" s="32"/>
      <c r="J281" s="32"/>
      <c r="K281" s="32"/>
      <c r="L281" s="32"/>
    </row>
    <row r="282" spans="1:12" ht="12.75">
      <c r="A282" s="8"/>
      <c r="B282" s="8"/>
      <c r="C282" s="32"/>
      <c r="D282" s="32"/>
      <c r="E282" s="32"/>
      <c r="F282" s="32"/>
      <c r="G282" s="32"/>
      <c r="H282" s="32"/>
      <c r="I282" s="32"/>
      <c r="J282" s="32"/>
      <c r="K282" s="32"/>
      <c r="L282" s="32"/>
    </row>
    <row r="283" spans="1:12" ht="12.75">
      <c r="A283" s="8"/>
      <c r="B283" s="8"/>
      <c r="C283" s="32"/>
      <c r="D283" s="32"/>
      <c r="E283" s="32"/>
      <c r="F283" s="32"/>
      <c r="G283" s="32"/>
      <c r="H283" s="32"/>
      <c r="I283" s="32"/>
      <c r="J283" s="32"/>
      <c r="K283" s="32"/>
      <c r="L283" s="32"/>
    </row>
    <row r="284" spans="1:12" ht="12.75">
      <c r="A284" s="8"/>
      <c r="B284" s="8"/>
      <c r="C284" s="32"/>
      <c r="D284" s="32"/>
      <c r="E284" s="32"/>
      <c r="F284" s="32"/>
      <c r="G284" s="32"/>
      <c r="H284" s="32"/>
      <c r="I284" s="32"/>
      <c r="J284" s="32"/>
      <c r="K284" s="32"/>
      <c r="L284" s="32"/>
    </row>
    <row r="285" spans="1:12" ht="12.75">
      <c r="A285" s="8"/>
      <c r="B285" s="8"/>
      <c r="C285" s="32"/>
      <c r="D285" s="32"/>
      <c r="E285" s="32"/>
      <c r="F285" s="32"/>
      <c r="G285" s="32"/>
      <c r="H285" s="32"/>
      <c r="I285" s="32"/>
      <c r="J285" s="32"/>
      <c r="K285" s="32"/>
      <c r="L285" s="32"/>
    </row>
    <row r="286" spans="1:12" ht="12.75">
      <c r="A286" s="8"/>
      <c r="B286" s="8"/>
      <c r="C286" s="32"/>
      <c r="D286" s="32"/>
      <c r="E286" s="32"/>
      <c r="F286" s="32"/>
      <c r="G286" s="32"/>
      <c r="H286" s="32"/>
      <c r="I286" s="32"/>
      <c r="J286" s="32"/>
      <c r="K286" s="32"/>
      <c r="L286" s="32"/>
    </row>
    <row r="287" spans="1:12" ht="12.75">
      <c r="A287" s="8"/>
      <c r="B287" s="8"/>
      <c r="C287" s="32"/>
      <c r="D287" s="32"/>
      <c r="E287" s="32"/>
      <c r="F287" s="32"/>
      <c r="G287" s="32"/>
      <c r="H287" s="32"/>
      <c r="I287" s="32"/>
      <c r="J287" s="32"/>
      <c r="K287" s="32"/>
      <c r="L287" s="32"/>
    </row>
    <row r="288" spans="1:12" ht="12.75">
      <c r="A288" s="8"/>
      <c r="B288" s="8"/>
      <c r="C288" s="32"/>
      <c r="D288" s="32"/>
      <c r="E288" s="32"/>
      <c r="F288" s="32"/>
      <c r="G288" s="32"/>
      <c r="H288" s="32"/>
      <c r="I288" s="32"/>
      <c r="J288" s="32"/>
      <c r="K288" s="32"/>
      <c r="L288" s="32"/>
    </row>
    <row r="289" spans="1:12" ht="12.75">
      <c r="A289" s="8"/>
      <c r="B289" s="8"/>
      <c r="C289" s="32"/>
      <c r="D289" s="32"/>
      <c r="E289" s="32"/>
      <c r="F289" s="32"/>
      <c r="G289" s="32"/>
      <c r="H289" s="32"/>
      <c r="I289" s="32"/>
      <c r="J289" s="32"/>
      <c r="K289" s="32"/>
      <c r="L289" s="32"/>
    </row>
    <row r="290" spans="1:12" ht="12.75">
      <c r="A290" s="8"/>
      <c r="B290" s="8"/>
      <c r="C290" s="32"/>
      <c r="D290" s="32"/>
      <c r="E290" s="32"/>
      <c r="F290" s="32"/>
      <c r="G290" s="32"/>
      <c r="H290" s="32"/>
      <c r="I290" s="32"/>
      <c r="J290" s="32"/>
      <c r="K290" s="32"/>
      <c r="L290" s="32"/>
    </row>
    <row r="291" spans="1:12" ht="12.75">
      <c r="A291" s="8"/>
      <c r="B291" s="8"/>
      <c r="C291" s="32"/>
      <c r="D291" s="32"/>
      <c r="E291" s="32"/>
      <c r="F291" s="32"/>
      <c r="G291" s="32"/>
      <c r="H291" s="32"/>
      <c r="I291" s="32"/>
      <c r="J291" s="32"/>
      <c r="K291" s="32"/>
      <c r="L291" s="32"/>
    </row>
    <row r="292" spans="1:12" ht="12.75">
      <c r="A292" s="8"/>
      <c r="B292" s="8"/>
      <c r="C292" s="32"/>
      <c r="D292" s="32"/>
      <c r="E292" s="32"/>
      <c r="F292" s="32"/>
      <c r="G292" s="32"/>
      <c r="H292" s="32"/>
      <c r="I292" s="32"/>
      <c r="J292" s="32"/>
      <c r="K292" s="32"/>
      <c r="L292" s="32"/>
    </row>
    <row r="293" spans="1:12" ht="12.75">
      <c r="A293" s="8"/>
      <c r="B293" s="8"/>
      <c r="C293" s="32"/>
      <c r="D293" s="32"/>
      <c r="E293" s="32"/>
      <c r="F293" s="32"/>
      <c r="G293" s="32"/>
      <c r="H293" s="32"/>
      <c r="I293" s="32"/>
      <c r="J293" s="32"/>
      <c r="K293" s="32"/>
      <c r="L293" s="32"/>
    </row>
    <row r="294" spans="1:12" ht="12.75">
      <c r="A294" s="8"/>
      <c r="B294" s="8"/>
      <c r="C294" s="32"/>
      <c r="D294" s="32"/>
      <c r="E294" s="32"/>
      <c r="F294" s="32"/>
      <c r="G294" s="32"/>
      <c r="H294" s="32"/>
      <c r="I294" s="32"/>
      <c r="J294" s="32"/>
      <c r="K294" s="32"/>
      <c r="L294" s="32"/>
    </row>
    <row r="295" spans="1:12" ht="12.75">
      <c r="A295" s="8"/>
      <c r="B295" s="8"/>
      <c r="C295" s="32"/>
      <c r="D295" s="32"/>
      <c r="E295" s="32"/>
      <c r="F295" s="32"/>
      <c r="G295" s="32"/>
      <c r="H295" s="32"/>
      <c r="I295" s="32"/>
      <c r="J295" s="32"/>
      <c r="K295" s="32"/>
      <c r="L295" s="32"/>
    </row>
    <row r="296" spans="1:12" ht="12.75">
      <c r="A296" s="8"/>
      <c r="B296" s="8"/>
      <c r="C296" s="32"/>
      <c r="D296" s="32"/>
      <c r="E296" s="32"/>
      <c r="F296" s="32"/>
      <c r="G296" s="32"/>
      <c r="H296" s="32"/>
      <c r="I296" s="32"/>
      <c r="J296" s="32"/>
      <c r="K296" s="32"/>
      <c r="L296" s="32"/>
    </row>
    <row r="297" spans="1:12" ht="12.75">
      <c r="A297" s="8"/>
      <c r="B297" s="8"/>
      <c r="C297" s="32"/>
      <c r="D297" s="32"/>
      <c r="E297" s="32"/>
      <c r="F297" s="32"/>
      <c r="G297" s="32"/>
      <c r="H297" s="32"/>
      <c r="I297" s="32"/>
      <c r="J297" s="32"/>
      <c r="K297" s="32"/>
      <c r="L297" s="32"/>
    </row>
    <row r="298" spans="1:12" ht="12.75">
      <c r="A298" s="8"/>
      <c r="B298" s="8"/>
      <c r="C298" s="32"/>
      <c r="D298" s="32"/>
      <c r="E298" s="32"/>
      <c r="F298" s="32"/>
      <c r="G298" s="32"/>
      <c r="H298" s="32"/>
      <c r="I298" s="32"/>
      <c r="J298" s="32"/>
      <c r="K298" s="32"/>
      <c r="L298" s="32"/>
    </row>
    <row r="299" spans="1:12" ht="12.75">
      <c r="A299" s="8"/>
      <c r="B299" s="8"/>
      <c r="C299" s="32"/>
      <c r="D299" s="32"/>
      <c r="E299" s="32"/>
      <c r="F299" s="32"/>
      <c r="G299" s="32"/>
      <c r="H299" s="32"/>
      <c r="I299" s="32"/>
      <c r="J299" s="32"/>
      <c r="K299" s="32"/>
      <c r="L299" s="32"/>
    </row>
    <row r="300" spans="1:12" ht="12.75">
      <c r="A300" s="8"/>
      <c r="B300" s="8"/>
      <c r="C300" s="32"/>
      <c r="D300" s="32"/>
      <c r="E300" s="32"/>
      <c r="F300" s="32"/>
      <c r="G300" s="32"/>
      <c r="H300" s="32"/>
      <c r="I300" s="32"/>
      <c r="J300" s="32"/>
      <c r="K300" s="32"/>
      <c r="L300" s="32"/>
    </row>
    <row r="301" spans="1:12" ht="12.75">
      <c r="A301" s="8"/>
      <c r="B301" s="8"/>
      <c r="C301" s="32"/>
      <c r="D301" s="32"/>
      <c r="E301" s="32"/>
      <c r="F301" s="32"/>
      <c r="G301" s="32"/>
      <c r="H301" s="32"/>
      <c r="I301" s="32"/>
      <c r="J301" s="32"/>
      <c r="K301" s="32"/>
      <c r="L301" s="32"/>
    </row>
    <row r="302" spans="1:12" ht="12.75">
      <c r="A302" s="8"/>
      <c r="B302" s="8"/>
      <c r="C302" s="32"/>
      <c r="D302" s="32"/>
      <c r="E302" s="32"/>
      <c r="F302" s="32"/>
      <c r="G302" s="32"/>
      <c r="H302" s="32"/>
      <c r="I302" s="32"/>
      <c r="J302" s="32"/>
      <c r="K302" s="32"/>
      <c r="L302" s="32"/>
    </row>
    <row r="303" spans="1:12" ht="12.75">
      <c r="A303" s="8"/>
      <c r="B303" s="8"/>
      <c r="C303" s="32"/>
      <c r="D303" s="32"/>
      <c r="E303" s="32"/>
      <c r="F303" s="32"/>
      <c r="G303" s="32"/>
      <c r="H303" s="32"/>
      <c r="I303" s="32"/>
      <c r="J303" s="32"/>
      <c r="K303" s="32"/>
      <c r="L303" s="32"/>
    </row>
    <row r="304" spans="1:12" ht="12.75">
      <c r="A304" s="8"/>
      <c r="B304" s="8"/>
      <c r="C304" s="32"/>
      <c r="D304" s="32"/>
      <c r="E304" s="32"/>
      <c r="F304" s="32"/>
      <c r="G304" s="32"/>
      <c r="H304" s="32"/>
      <c r="I304" s="32"/>
      <c r="J304" s="32"/>
      <c r="K304" s="32"/>
      <c r="L304" s="32"/>
    </row>
    <row r="305" spans="1:12" ht="12.75">
      <c r="A305" s="8"/>
      <c r="B305" s="8"/>
      <c r="C305" s="32"/>
      <c r="D305" s="32"/>
      <c r="E305" s="32"/>
      <c r="F305" s="32"/>
      <c r="G305" s="32"/>
      <c r="H305" s="32"/>
      <c r="I305" s="32"/>
      <c r="J305" s="32"/>
      <c r="K305" s="32"/>
      <c r="L305" s="32"/>
    </row>
    <row r="306" spans="1:12" ht="12.75">
      <c r="A306" s="8"/>
      <c r="B306" s="8"/>
      <c r="C306" s="32"/>
      <c r="D306" s="32"/>
      <c r="E306" s="32"/>
      <c r="F306" s="32"/>
      <c r="G306" s="32"/>
      <c r="H306" s="32"/>
      <c r="I306" s="32"/>
      <c r="J306" s="32"/>
      <c r="K306" s="32"/>
      <c r="L306" s="32"/>
    </row>
    <row r="307" spans="1:12" ht="12.75">
      <c r="A307" s="8"/>
      <c r="B307" s="8"/>
      <c r="C307" s="32"/>
      <c r="D307" s="32"/>
      <c r="E307" s="32"/>
      <c r="F307" s="32"/>
      <c r="G307" s="32"/>
      <c r="H307" s="32"/>
      <c r="I307" s="32"/>
      <c r="J307" s="32"/>
      <c r="K307" s="32"/>
      <c r="L307" s="32"/>
    </row>
    <row r="308" spans="1:12" ht="12.75">
      <c r="A308" s="8"/>
      <c r="B308" s="8"/>
      <c r="C308" s="32"/>
      <c r="D308" s="32"/>
      <c r="E308" s="32"/>
      <c r="F308" s="32"/>
      <c r="G308" s="32"/>
      <c r="H308" s="32"/>
      <c r="I308" s="32"/>
      <c r="J308" s="32"/>
      <c r="K308" s="32"/>
      <c r="L308" s="32"/>
    </row>
    <row r="309" spans="1:12" ht="12.75">
      <c r="A309" s="8"/>
      <c r="B309" s="8"/>
      <c r="C309" s="32"/>
      <c r="D309" s="32"/>
      <c r="E309" s="32"/>
      <c r="F309" s="32"/>
      <c r="G309" s="32"/>
      <c r="H309" s="32"/>
      <c r="I309" s="32"/>
      <c r="J309" s="32"/>
      <c r="K309" s="32"/>
      <c r="L309" s="32"/>
    </row>
    <row r="310" spans="1:12" ht="12.75">
      <c r="A310" s="8"/>
      <c r="B310" s="8"/>
      <c r="C310" s="32"/>
      <c r="D310" s="32"/>
      <c r="E310" s="32"/>
      <c r="F310" s="32"/>
      <c r="G310" s="32"/>
      <c r="H310" s="32"/>
      <c r="I310" s="32"/>
      <c r="J310" s="32"/>
      <c r="K310" s="32"/>
      <c r="L310" s="32"/>
    </row>
    <row r="311" spans="1:12" ht="12.75">
      <c r="A311" s="8"/>
      <c r="B311" s="8"/>
      <c r="C311" s="32"/>
      <c r="D311" s="32"/>
      <c r="E311" s="32"/>
      <c r="F311" s="32"/>
      <c r="G311" s="32"/>
      <c r="H311" s="32"/>
      <c r="I311" s="32"/>
      <c r="J311" s="32"/>
      <c r="K311" s="32"/>
      <c r="L311" s="32"/>
    </row>
    <row r="312" spans="1:12" ht="12.75">
      <c r="A312" s="8"/>
      <c r="B312" s="8"/>
      <c r="C312" s="32"/>
      <c r="D312" s="32"/>
      <c r="E312" s="32"/>
      <c r="F312" s="32"/>
      <c r="G312" s="32"/>
      <c r="H312" s="32"/>
      <c r="I312" s="32"/>
      <c r="J312" s="32"/>
      <c r="K312" s="32"/>
      <c r="L312" s="32"/>
    </row>
    <row r="313" spans="1:12" ht="12.75">
      <c r="A313" s="8"/>
      <c r="B313" s="8"/>
      <c r="C313" s="32"/>
      <c r="D313" s="32"/>
      <c r="E313" s="32"/>
      <c r="F313" s="32"/>
      <c r="G313" s="32"/>
      <c r="H313" s="32"/>
      <c r="I313" s="32"/>
      <c r="J313" s="32"/>
      <c r="K313" s="32"/>
      <c r="L313" s="32"/>
    </row>
    <row r="314" spans="1:12" ht="12.75">
      <c r="A314" s="8"/>
      <c r="B314" s="8"/>
      <c r="C314" s="32"/>
      <c r="D314" s="32"/>
      <c r="E314" s="32"/>
      <c r="F314" s="32"/>
      <c r="G314" s="32"/>
      <c r="H314" s="32"/>
      <c r="I314" s="32"/>
      <c r="J314" s="32"/>
      <c r="K314" s="32"/>
      <c r="L314" s="32"/>
    </row>
    <row r="315" spans="1:12" ht="12.75">
      <c r="A315" s="8"/>
      <c r="B315" s="8"/>
      <c r="C315" s="32"/>
      <c r="D315" s="32"/>
      <c r="E315" s="32"/>
      <c r="F315" s="32"/>
      <c r="G315" s="32"/>
      <c r="H315" s="32"/>
      <c r="I315" s="32"/>
      <c r="J315" s="32"/>
      <c r="K315" s="32"/>
      <c r="L315" s="32"/>
    </row>
    <row r="316" spans="1:12" ht="12.75">
      <c r="A316" s="8"/>
      <c r="B316" s="8"/>
      <c r="C316" s="32"/>
      <c r="D316" s="32"/>
      <c r="E316" s="32"/>
      <c r="F316" s="32"/>
      <c r="G316" s="32"/>
      <c r="H316" s="32"/>
      <c r="I316" s="32"/>
      <c r="J316" s="32"/>
      <c r="K316" s="32"/>
      <c r="L316" s="32"/>
    </row>
    <row r="317" spans="1:12" ht="12.75">
      <c r="A317" s="8"/>
      <c r="B317" s="8"/>
      <c r="C317" s="32"/>
      <c r="D317" s="32"/>
      <c r="E317" s="32"/>
      <c r="F317" s="32"/>
      <c r="G317" s="32"/>
      <c r="H317" s="32"/>
      <c r="I317" s="32"/>
      <c r="J317" s="32"/>
      <c r="K317" s="32"/>
      <c r="L317" s="32"/>
    </row>
    <row r="318" spans="1:12" ht="12.75">
      <c r="A318" s="8"/>
      <c r="B318" s="8"/>
      <c r="C318" s="32"/>
      <c r="D318" s="32"/>
      <c r="E318" s="32"/>
      <c r="F318" s="32"/>
      <c r="G318" s="32"/>
      <c r="H318" s="32"/>
      <c r="I318" s="32"/>
      <c r="J318" s="32"/>
      <c r="K318" s="32"/>
      <c r="L318" s="32"/>
    </row>
    <row r="319" spans="1:12" ht="12.75">
      <c r="A319" s="8"/>
      <c r="B319" s="8"/>
      <c r="C319" s="32"/>
      <c r="D319" s="32"/>
      <c r="E319" s="32"/>
      <c r="F319" s="32"/>
      <c r="G319" s="32"/>
      <c r="H319" s="32"/>
      <c r="I319" s="32"/>
      <c r="J319" s="32"/>
      <c r="K319" s="32"/>
      <c r="L319" s="32"/>
    </row>
    <row r="320" spans="1:12" ht="12.75">
      <c r="A320" s="8"/>
      <c r="B320" s="8"/>
      <c r="C320" s="32"/>
      <c r="D320" s="32"/>
      <c r="E320" s="32"/>
      <c r="F320" s="32"/>
      <c r="G320" s="32"/>
      <c r="H320" s="32"/>
      <c r="I320" s="32"/>
      <c r="J320" s="32"/>
      <c r="K320" s="32"/>
      <c r="L320" s="32"/>
    </row>
    <row r="321" spans="1:12" ht="12.75">
      <c r="A321" s="8"/>
      <c r="B321" s="8"/>
      <c r="C321" s="32"/>
      <c r="D321" s="32"/>
      <c r="E321" s="32"/>
      <c r="F321" s="32"/>
      <c r="G321" s="32"/>
      <c r="H321" s="32"/>
      <c r="I321" s="32"/>
      <c r="J321" s="32"/>
      <c r="K321" s="32"/>
      <c r="L321" s="32"/>
    </row>
    <row r="322" spans="1:12" ht="12.75">
      <c r="A322" s="8"/>
      <c r="B322" s="8"/>
      <c r="C322" s="32"/>
      <c r="D322" s="32"/>
      <c r="E322" s="32"/>
      <c r="F322" s="32"/>
      <c r="G322" s="32"/>
      <c r="H322" s="32"/>
      <c r="I322" s="32"/>
      <c r="J322" s="32"/>
      <c r="K322" s="32"/>
      <c r="L322" s="32"/>
    </row>
    <row r="323" spans="1:12" ht="12.75">
      <c r="A323" s="8"/>
      <c r="B323" s="8"/>
      <c r="C323" s="32"/>
      <c r="D323" s="32"/>
      <c r="E323" s="32"/>
      <c r="F323" s="32"/>
      <c r="G323" s="32"/>
      <c r="H323" s="32"/>
      <c r="I323" s="32"/>
      <c r="J323" s="32"/>
      <c r="K323" s="32"/>
      <c r="L323" s="32"/>
    </row>
    <row r="324" spans="1:12" ht="12.75">
      <c r="A324" s="8"/>
      <c r="B324" s="8"/>
      <c r="C324" s="32"/>
      <c r="D324" s="32"/>
      <c r="E324" s="32"/>
      <c r="F324" s="32"/>
      <c r="G324" s="32"/>
      <c r="H324" s="32"/>
      <c r="I324" s="32"/>
      <c r="J324" s="32"/>
      <c r="K324" s="32"/>
      <c r="L324" s="32"/>
    </row>
    <row r="325" spans="1:12" ht="12.75">
      <c r="A325" s="8"/>
      <c r="B325" s="8"/>
      <c r="C325" s="32"/>
      <c r="D325" s="32"/>
      <c r="E325" s="32"/>
      <c r="F325" s="32"/>
      <c r="G325" s="32"/>
      <c r="H325" s="32"/>
      <c r="I325" s="32"/>
      <c r="J325" s="32"/>
      <c r="K325" s="32"/>
      <c r="L325" s="32"/>
    </row>
    <row r="326" spans="1:12" ht="12.75">
      <c r="A326" s="8"/>
      <c r="B326" s="8"/>
      <c r="C326" s="32"/>
      <c r="D326" s="32"/>
      <c r="E326" s="32"/>
      <c r="F326" s="32"/>
      <c r="G326" s="32"/>
      <c r="H326" s="32"/>
      <c r="I326" s="32"/>
      <c r="J326" s="32"/>
      <c r="K326" s="32"/>
      <c r="L326" s="32"/>
    </row>
    <row r="327" spans="1:12" ht="12.75">
      <c r="A327" s="8"/>
      <c r="B327" s="8"/>
      <c r="C327" s="32"/>
      <c r="D327" s="32"/>
      <c r="E327" s="32"/>
      <c r="F327" s="32"/>
      <c r="G327" s="32"/>
      <c r="H327" s="32"/>
      <c r="I327" s="32"/>
      <c r="J327" s="32"/>
      <c r="K327" s="32"/>
      <c r="L327" s="32"/>
    </row>
    <row r="328" spans="1:12" ht="12.75">
      <c r="A328" s="8"/>
      <c r="B328" s="8"/>
      <c r="C328" s="32"/>
      <c r="D328" s="32"/>
      <c r="E328" s="32"/>
      <c r="F328" s="32"/>
      <c r="G328" s="32"/>
      <c r="H328" s="32"/>
      <c r="I328" s="32"/>
      <c r="J328" s="32"/>
      <c r="K328" s="32"/>
      <c r="L328" s="32"/>
    </row>
    <row r="329" spans="1:12" ht="12.75">
      <c r="A329" s="8"/>
      <c r="B329" s="8"/>
      <c r="C329" s="32"/>
      <c r="D329" s="32"/>
      <c r="E329" s="32"/>
      <c r="F329" s="32"/>
      <c r="G329" s="32"/>
      <c r="H329" s="32"/>
      <c r="I329" s="32"/>
      <c r="J329" s="32"/>
      <c r="K329" s="32"/>
      <c r="L329" s="32"/>
    </row>
    <row r="330" spans="1:12" ht="12.75">
      <c r="A330" s="8"/>
      <c r="B330" s="8"/>
      <c r="C330" s="32"/>
      <c r="D330" s="32"/>
      <c r="E330" s="32"/>
      <c r="F330" s="32"/>
      <c r="G330" s="32"/>
      <c r="H330" s="32"/>
      <c r="I330" s="32"/>
      <c r="J330" s="32"/>
      <c r="K330" s="32"/>
      <c r="L330" s="32"/>
    </row>
    <row r="331" spans="1:12" ht="12.75">
      <c r="A331" s="8"/>
      <c r="B331" s="8"/>
      <c r="C331" s="32"/>
      <c r="D331" s="32"/>
      <c r="E331" s="32"/>
      <c r="F331" s="32"/>
      <c r="G331" s="32"/>
      <c r="H331" s="32"/>
      <c r="I331" s="32"/>
      <c r="J331" s="32"/>
      <c r="K331" s="32"/>
      <c r="L331" s="32"/>
    </row>
    <row r="332" spans="1:12" ht="12.75">
      <c r="A332" s="8"/>
      <c r="B332" s="8"/>
      <c r="C332" s="32"/>
      <c r="D332" s="32"/>
      <c r="E332" s="32"/>
      <c r="F332" s="32"/>
      <c r="G332" s="32"/>
      <c r="H332" s="32"/>
      <c r="I332" s="32"/>
      <c r="J332" s="32"/>
      <c r="K332" s="32"/>
      <c r="L332" s="32"/>
    </row>
    <row r="333" spans="1:12" ht="12.75">
      <c r="A333" s="8"/>
      <c r="B333" s="8"/>
      <c r="C333" s="32"/>
      <c r="D333" s="32"/>
      <c r="E333" s="32"/>
      <c r="F333" s="32"/>
      <c r="G333" s="32"/>
      <c r="H333" s="32"/>
      <c r="I333" s="32"/>
      <c r="J333" s="32"/>
      <c r="K333" s="32"/>
      <c r="L333" s="32"/>
    </row>
    <row r="334" spans="1:12" ht="12.75">
      <c r="A334" s="8"/>
      <c r="B334" s="8"/>
      <c r="C334" s="32"/>
      <c r="D334" s="32"/>
      <c r="E334" s="32"/>
      <c r="F334" s="32"/>
      <c r="G334" s="32"/>
      <c r="H334" s="32"/>
      <c r="I334" s="32"/>
      <c r="J334" s="32"/>
      <c r="K334" s="32"/>
      <c r="L334" s="32"/>
    </row>
    <row r="335" spans="1:12" ht="12.75">
      <c r="A335" s="8"/>
      <c r="B335" s="8"/>
      <c r="C335" s="32"/>
      <c r="D335" s="32"/>
      <c r="E335" s="32"/>
      <c r="F335" s="32"/>
      <c r="G335" s="32"/>
      <c r="H335" s="32"/>
      <c r="I335" s="32"/>
      <c r="J335" s="32"/>
      <c r="K335" s="32"/>
      <c r="L335" s="32"/>
    </row>
    <row r="336" spans="1:12" ht="12.75">
      <c r="A336" s="8"/>
      <c r="B336" s="8"/>
      <c r="C336" s="32"/>
      <c r="D336" s="32"/>
      <c r="E336" s="32"/>
      <c r="F336" s="32"/>
      <c r="G336" s="32"/>
      <c r="H336" s="32"/>
      <c r="I336" s="32"/>
      <c r="J336" s="32"/>
      <c r="K336" s="32"/>
      <c r="L336" s="32"/>
    </row>
    <row r="337" spans="1:12" ht="12.75">
      <c r="A337" s="8"/>
      <c r="B337" s="8"/>
      <c r="C337" s="32"/>
      <c r="D337" s="32"/>
      <c r="E337" s="32"/>
      <c r="F337" s="32"/>
      <c r="G337" s="32"/>
      <c r="H337" s="32"/>
      <c r="I337" s="32"/>
      <c r="J337" s="32"/>
      <c r="K337" s="32"/>
      <c r="L337" s="32"/>
    </row>
    <row r="338" spans="1:12" ht="12.75">
      <c r="A338" s="8"/>
      <c r="B338" s="8"/>
      <c r="C338" s="32"/>
      <c r="D338" s="32"/>
      <c r="E338" s="32"/>
      <c r="F338" s="32"/>
      <c r="G338" s="32"/>
      <c r="H338" s="32"/>
      <c r="I338" s="32"/>
      <c r="J338" s="32"/>
      <c r="K338" s="32"/>
      <c r="L338" s="32"/>
    </row>
    <row r="339" spans="1:12" ht="12.75">
      <c r="A339" s="8"/>
      <c r="B339" s="8"/>
      <c r="C339" s="32"/>
      <c r="D339" s="32"/>
      <c r="E339" s="32"/>
      <c r="F339" s="32"/>
      <c r="G339" s="32"/>
      <c r="H339" s="32"/>
      <c r="I339" s="32"/>
      <c r="J339" s="32"/>
      <c r="K339" s="32"/>
      <c r="L339" s="32"/>
    </row>
    <row r="340" spans="1:12" ht="12.75">
      <c r="A340" s="8"/>
      <c r="B340" s="8"/>
      <c r="C340" s="32"/>
      <c r="D340" s="32"/>
      <c r="E340" s="32"/>
      <c r="F340" s="32"/>
      <c r="G340" s="32"/>
      <c r="H340" s="32"/>
      <c r="I340" s="32"/>
      <c r="J340" s="32"/>
      <c r="K340" s="32"/>
      <c r="L340" s="32"/>
    </row>
    <row r="341" spans="1:12" ht="12.75">
      <c r="A341" s="8"/>
      <c r="B341" s="8"/>
      <c r="C341" s="32"/>
      <c r="D341" s="32"/>
      <c r="E341" s="32"/>
      <c r="F341" s="32"/>
      <c r="G341" s="32"/>
      <c r="H341" s="32"/>
      <c r="I341" s="32"/>
      <c r="J341" s="32"/>
      <c r="K341" s="32"/>
      <c r="L341" s="32"/>
    </row>
    <row r="342" spans="1:12" ht="12.75">
      <c r="A342" s="8"/>
      <c r="B342" s="8"/>
      <c r="C342" s="32"/>
      <c r="D342" s="32"/>
      <c r="E342" s="32"/>
      <c r="F342" s="32"/>
      <c r="G342" s="32"/>
      <c r="H342" s="32"/>
      <c r="I342" s="32"/>
      <c r="J342" s="32"/>
      <c r="K342" s="32"/>
      <c r="L342" s="32"/>
    </row>
    <row r="343" spans="1:12" ht="12.75">
      <c r="A343" s="8"/>
      <c r="B343" s="8"/>
      <c r="C343" s="32"/>
      <c r="D343" s="32"/>
      <c r="E343" s="32"/>
      <c r="F343" s="32"/>
      <c r="G343" s="32"/>
      <c r="H343" s="32"/>
      <c r="I343" s="32"/>
      <c r="J343" s="32"/>
      <c r="K343" s="32"/>
      <c r="L343" s="32"/>
    </row>
    <row r="344" spans="1:12" ht="12.75">
      <c r="A344" s="8"/>
      <c r="B344" s="8"/>
      <c r="C344" s="32"/>
      <c r="D344" s="32"/>
      <c r="E344" s="32"/>
      <c r="F344" s="32"/>
      <c r="G344" s="32"/>
      <c r="H344" s="32"/>
      <c r="I344" s="32"/>
      <c r="J344" s="32"/>
      <c r="K344" s="32"/>
      <c r="L344" s="32"/>
    </row>
    <row r="345" spans="1:12" ht="12.75">
      <c r="A345" s="8"/>
      <c r="B345" s="8"/>
      <c r="C345" s="32"/>
      <c r="D345" s="32"/>
      <c r="E345" s="32"/>
      <c r="F345" s="32"/>
      <c r="G345" s="32"/>
      <c r="H345" s="32"/>
      <c r="I345" s="32"/>
      <c r="J345" s="32"/>
      <c r="K345" s="32"/>
      <c r="L345" s="32"/>
    </row>
    <row r="346" spans="1:12" ht="12.75">
      <c r="A346" s="8"/>
      <c r="B346" s="8"/>
      <c r="C346" s="32"/>
      <c r="D346" s="32"/>
      <c r="E346" s="32"/>
      <c r="F346" s="32"/>
      <c r="G346" s="32"/>
      <c r="H346" s="32"/>
      <c r="I346" s="32"/>
      <c r="J346" s="32"/>
      <c r="K346" s="32"/>
      <c r="L346" s="32"/>
    </row>
    <row r="347" spans="1:12" ht="12.75">
      <c r="A347" s="8"/>
      <c r="B347" s="8"/>
      <c r="C347" s="32"/>
      <c r="D347" s="32"/>
      <c r="E347" s="32"/>
      <c r="F347" s="32"/>
      <c r="G347" s="32"/>
      <c r="H347" s="32"/>
      <c r="I347" s="32"/>
      <c r="J347" s="32"/>
      <c r="K347" s="32"/>
      <c r="L347" s="32"/>
    </row>
    <row r="348" spans="1:12" ht="12.75">
      <c r="A348" s="8"/>
      <c r="B348" s="8"/>
      <c r="C348" s="32"/>
      <c r="D348" s="32"/>
      <c r="E348" s="32"/>
      <c r="F348" s="32"/>
      <c r="G348" s="32"/>
      <c r="H348" s="32"/>
      <c r="I348" s="32"/>
      <c r="J348" s="32"/>
      <c r="K348" s="32"/>
      <c r="L348" s="32"/>
    </row>
    <row r="349" spans="1:12" ht="12.75">
      <c r="A349" s="8"/>
      <c r="B349" s="8"/>
      <c r="C349" s="32"/>
      <c r="D349" s="32"/>
      <c r="E349" s="32"/>
      <c r="F349" s="32"/>
      <c r="G349" s="32"/>
      <c r="H349" s="32"/>
      <c r="I349" s="32"/>
      <c r="J349" s="32"/>
      <c r="K349" s="32"/>
      <c r="L349" s="32"/>
    </row>
    <row r="350" spans="1:12" ht="12.75">
      <c r="A350" s="8"/>
      <c r="B350" s="8"/>
      <c r="C350" s="32"/>
      <c r="D350" s="32"/>
      <c r="E350" s="32"/>
      <c r="F350" s="32"/>
      <c r="G350" s="32"/>
      <c r="H350" s="32"/>
      <c r="I350" s="32"/>
      <c r="J350" s="32"/>
      <c r="K350" s="32"/>
      <c r="L350" s="32"/>
    </row>
    <row r="351" spans="1:12" ht="12.75">
      <c r="A351" s="8"/>
      <c r="B351" s="8"/>
      <c r="C351" s="32"/>
      <c r="D351" s="32"/>
      <c r="E351" s="32"/>
      <c r="F351" s="32"/>
      <c r="G351" s="32"/>
      <c r="H351" s="32"/>
      <c r="I351" s="32"/>
      <c r="J351" s="32"/>
      <c r="K351" s="32"/>
      <c r="L351" s="32"/>
    </row>
    <row r="352" spans="1:12" ht="12.75">
      <c r="A352" s="8"/>
      <c r="B352" s="8"/>
      <c r="C352" s="32"/>
      <c r="D352" s="32"/>
      <c r="E352" s="32"/>
      <c r="F352" s="32"/>
      <c r="G352" s="32"/>
      <c r="H352" s="32"/>
      <c r="I352" s="32"/>
      <c r="J352" s="32"/>
      <c r="K352" s="32"/>
      <c r="L352" s="32"/>
    </row>
    <row r="353" spans="1:12" ht="12.75">
      <c r="A353" s="8"/>
      <c r="B353" s="8"/>
      <c r="C353" s="32"/>
      <c r="D353" s="32"/>
      <c r="E353" s="32"/>
      <c r="F353" s="32"/>
      <c r="G353" s="32"/>
      <c r="H353" s="32"/>
      <c r="I353" s="32"/>
      <c r="J353" s="32"/>
      <c r="K353" s="32"/>
      <c r="L353" s="32"/>
    </row>
    <row r="354" spans="1:12" ht="12.75">
      <c r="A354" s="8"/>
      <c r="B354" s="8"/>
      <c r="C354" s="32"/>
      <c r="D354" s="32"/>
      <c r="E354" s="32"/>
      <c r="F354" s="32"/>
      <c r="G354" s="32"/>
      <c r="H354" s="32"/>
      <c r="I354" s="32"/>
      <c r="J354" s="32"/>
      <c r="K354" s="32"/>
      <c r="L354" s="32"/>
    </row>
    <row r="355" spans="1:12" ht="12.75">
      <c r="A355" s="8"/>
      <c r="B355" s="8"/>
      <c r="C355" s="32"/>
      <c r="D355" s="32"/>
      <c r="E355" s="32"/>
      <c r="F355" s="32"/>
      <c r="G355" s="32"/>
      <c r="H355" s="32"/>
      <c r="I355" s="32"/>
      <c r="J355" s="32"/>
      <c r="K355" s="32"/>
      <c r="L355" s="32"/>
    </row>
    <row r="356" spans="1:12" ht="12.75">
      <c r="A356" s="8"/>
      <c r="B356" s="8"/>
      <c r="C356" s="32"/>
      <c r="D356" s="32"/>
      <c r="E356" s="32"/>
      <c r="F356" s="32"/>
      <c r="G356" s="32"/>
      <c r="H356" s="32"/>
      <c r="I356" s="32"/>
      <c r="J356" s="32"/>
      <c r="K356" s="32"/>
      <c r="L356" s="32"/>
    </row>
    <row r="357" spans="1:12" ht="12.75">
      <c r="A357" s="8"/>
      <c r="B357" s="8"/>
      <c r="C357" s="32"/>
      <c r="D357" s="32"/>
      <c r="E357" s="32"/>
      <c r="F357" s="32"/>
      <c r="G357" s="32"/>
      <c r="H357" s="32"/>
      <c r="I357" s="32"/>
      <c r="J357" s="32"/>
      <c r="K357" s="32"/>
      <c r="L357" s="32"/>
    </row>
    <row r="358" spans="1:12" ht="12.75">
      <c r="A358" s="8"/>
      <c r="B358" s="8"/>
      <c r="C358" s="32"/>
      <c r="D358" s="32"/>
      <c r="E358" s="32"/>
      <c r="F358" s="32"/>
      <c r="G358" s="32"/>
      <c r="H358" s="32"/>
      <c r="I358" s="32"/>
      <c r="J358" s="32"/>
      <c r="K358" s="32"/>
      <c r="L358" s="32"/>
    </row>
    <row r="359" spans="1:12" ht="12.75">
      <c r="A359" s="8"/>
      <c r="B359" s="8"/>
      <c r="C359" s="32"/>
      <c r="D359" s="32"/>
      <c r="E359" s="32"/>
      <c r="F359" s="32"/>
      <c r="G359" s="32"/>
      <c r="H359" s="32"/>
      <c r="I359" s="32"/>
      <c r="J359" s="32"/>
      <c r="K359" s="32"/>
      <c r="L359" s="32"/>
    </row>
    <row r="360" spans="1:12" ht="12.75">
      <c r="A360" s="8"/>
      <c r="B360" s="8"/>
      <c r="C360" s="32"/>
      <c r="D360" s="32"/>
      <c r="E360" s="32"/>
      <c r="F360" s="32"/>
      <c r="G360" s="32"/>
      <c r="H360" s="32"/>
      <c r="I360" s="32"/>
      <c r="J360" s="32"/>
      <c r="K360" s="32"/>
      <c r="L360" s="32"/>
    </row>
    <row r="361" spans="1:12" ht="12.75">
      <c r="A361" s="8"/>
      <c r="B361" s="8"/>
      <c r="C361" s="32"/>
      <c r="D361" s="32"/>
      <c r="E361" s="32"/>
      <c r="F361" s="32"/>
      <c r="G361" s="32"/>
      <c r="H361" s="32"/>
      <c r="I361" s="32"/>
      <c r="J361" s="32"/>
      <c r="K361" s="32"/>
      <c r="L361" s="32"/>
    </row>
    <row r="362" spans="1:12" ht="12.75">
      <c r="A362" s="8"/>
      <c r="B362" s="8"/>
      <c r="C362" s="32"/>
      <c r="D362" s="32"/>
      <c r="E362" s="32"/>
      <c r="F362" s="32"/>
      <c r="G362" s="32"/>
      <c r="H362" s="32"/>
      <c r="I362" s="32"/>
      <c r="J362" s="32"/>
      <c r="K362" s="32"/>
      <c r="L362" s="32"/>
    </row>
    <row r="363" spans="1:12" ht="12.75">
      <c r="A363" s="8"/>
      <c r="B363" s="8"/>
      <c r="C363" s="32"/>
      <c r="D363" s="32"/>
      <c r="E363" s="32"/>
      <c r="F363" s="32"/>
      <c r="G363" s="32"/>
      <c r="H363" s="32"/>
      <c r="I363" s="32"/>
      <c r="J363" s="32"/>
      <c r="K363" s="32"/>
      <c r="L363" s="32"/>
    </row>
    <row r="364" spans="1:12" ht="12.75">
      <c r="A364" s="8"/>
      <c r="B364" s="8"/>
      <c r="C364" s="32"/>
      <c r="D364" s="32"/>
      <c r="E364" s="32"/>
      <c r="F364" s="32"/>
      <c r="G364" s="32"/>
      <c r="H364" s="32"/>
      <c r="I364" s="32"/>
      <c r="J364" s="32"/>
      <c r="K364" s="32"/>
      <c r="L364" s="32"/>
    </row>
    <row r="365" spans="1:12" ht="12.75">
      <c r="A365" s="8"/>
      <c r="B365" s="8"/>
      <c r="C365" s="32"/>
      <c r="D365" s="32"/>
      <c r="E365" s="32"/>
      <c r="F365" s="32"/>
      <c r="G365" s="32"/>
      <c r="H365" s="32"/>
      <c r="I365" s="32"/>
      <c r="J365" s="32"/>
      <c r="K365" s="32"/>
      <c r="L365" s="32"/>
    </row>
    <row r="366" spans="1:12" ht="12.75">
      <c r="A366" s="8"/>
      <c r="B366" s="8"/>
      <c r="C366" s="32"/>
      <c r="D366" s="32"/>
      <c r="E366" s="32"/>
      <c r="F366" s="32"/>
      <c r="G366" s="32"/>
      <c r="H366" s="32"/>
      <c r="I366" s="32"/>
      <c r="J366" s="32"/>
      <c r="K366" s="32"/>
      <c r="L366" s="32"/>
    </row>
    <row r="367" spans="1:12" ht="12.75">
      <c r="A367" s="8"/>
      <c r="B367" s="8"/>
      <c r="C367" s="32"/>
      <c r="D367" s="32"/>
      <c r="E367" s="32"/>
      <c r="F367" s="32"/>
      <c r="G367" s="32"/>
      <c r="H367" s="32"/>
      <c r="I367" s="32"/>
      <c r="J367" s="32"/>
      <c r="K367" s="32"/>
      <c r="L367" s="32"/>
    </row>
    <row r="368" spans="1:12" ht="12.75">
      <c r="A368" s="8"/>
      <c r="B368" s="8"/>
      <c r="C368" s="32"/>
      <c r="D368" s="32"/>
      <c r="E368" s="32"/>
      <c r="F368" s="32"/>
      <c r="G368" s="32"/>
      <c r="H368" s="32"/>
      <c r="I368" s="32"/>
      <c r="J368" s="32"/>
      <c r="K368" s="32"/>
      <c r="L368" s="32"/>
    </row>
    <row r="369" spans="1:12" ht="12.75">
      <c r="A369" s="8"/>
      <c r="B369" s="8"/>
      <c r="C369" s="32"/>
      <c r="D369" s="32"/>
      <c r="E369" s="32"/>
      <c r="F369" s="32"/>
      <c r="G369" s="32"/>
      <c r="H369" s="32"/>
      <c r="I369" s="32"/>
      <c r="J369" s="32"/>
      <c r="K369" s="32"/>
      <c r="L369" s="32"/>
    </row>
    <row r="370" spans="1:12" ht="12.75">
      <c r="A370" s="8"/>
      <c r="B370" s="8"/>
      <c r="C370" s="32"/>
      <c r="D370" s="32"/>
      <c r="E370" s="32"/>
      <c r="F370" s="32"/>
      <c r="G370" s="32"/>
      <c r="H370" s="32"/>
      <c r="I370" s="32"/>
      <c r="J370" s="32"/>
      <c r="K370" s="32"/>
      <c r="L370" s="32"/>
    </row>
    <row r="371" spans="1:12" ht="12.75">
      <c r="A371" s="8"/>
      <c r="B371" s="8"/>
      <c r="C371" s="32"/>
      <c r="D371" s="32"/>
      <c r="E371" s="32"/>
      <c r="F371" s="32"/>
      <c r="G371" s="32"/>
      <c r="H371" s="32"/>
      <c r="I371" s="32"/>
      <c r="J371" s="32"/>
      <c r="K371" s="32"/>
      <c r="L371" s="32"/>
    </row>
    <row r="372" spans="1:12" ht="12.75">
      <c r="A372" s="8"/>
      <c r="B372" s="8"/>
      <c r="C372" s="32"/>
      <c r="D372" s="32"/>
      <c r="E372" s="32"/>
      <c r="F372" s="32"/>
      <c r="G372" s="32"/>
      <c r="H372" s="32"/>
      <c r="I372" s="32"/>
      <c r="J372" s="32"/>
      <c r="K372" s="32"/>
      <c r="L372" s="32"/>
    </row>
  </sheetData>
  <mergeCells count="14">
    <mergeCell ref="A28:B28"/>
    <mergeCell ref="A29:B29"/>
    <mergeCell ref="C32:E32"/>
    <mergeCell ref="C15:E15"/>
    <mergeCell ref="C16:E16"/>
    <mergeCell ref="C31:E31"/>
    <mergeCell ref="C33:E33"/>
    <mergeCell ref="G14:H14"/>
    <mergeCell ref="G12:H12"/>
    <mergeCell ref="C21:E21"/>
    <mergeCell ref="C23:E23"/>
    <mergeCell ref="C22:E22"/>
    <mergeCell ref="C25:E25"/>
    <mergeCell ref="C26:E26"/>
  </mergeCells>
  <hyperlinks>
    <hyperlink ref="B6" location="Guage_Pressure___Pressure_differential_measured_between_two_places__usually_between_ambient" display="Guage_Pressure___Pressure_differential_measured_between_two_places__usually_between_ambient"/>
    <hyperlink ref="C6" location="Absolute_Pressure___As_defined_in__Turbocharging___by_Hugh_MacInnes__the_pressure_measured_above" display="Absolute_Pressure___As_defined_in__Turbocharging___by_Hugh_MacInnes__the_pressure_measured_above"/>
  </hyperlink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J27"/>
  <sheetViews>
    <sheetView zoomScale="75" zoomScaleNormal="75" workbookViewId="0" topLeftCell="A1">
      <selection activeCell="A1" sqref="A1"/>
    </sheetView>
  </sheetViews>
  <sheetFormatPr defaultColWidth="9.140625" defaultRowHeight="12.75"/>
  <cols>
    <col min="1" max="1" width="10.28125" style="0" customWidth="1"/>
    <col min="2" max="2" width="12.57421875" style="0" customWidth="1"/>
    <col min="3" max="3" width="12.28125" style="0" bestFit="1" customWidth="1"/>
    <col min="4" max="4" width="10.28125" style="0" customWidth="1"/>
    <col min="5" max="5" width="12.7109375" style="0" customWidth="1"/>
    <col min="9" max="9" width="11.8515625" style="0" customWidth="1"/>
  </cols>
  <sheetData>
    <row r="2" s="202" customFormat="1" ht="15">
      <c r="A2" s="202" t="s">
        <v>519</v>
      </c>
    </row>
    <row r="3" s="202" customFormat="1" ht="15">
      <c r="A3" s="202" t="s">
        <v>520</v>
      </c>
    </row>
    <row r="5" ht="12.75">
      <c r="A5" s="5" t="s">
        <v>585</v>
      </c>
    </row>
    <row r="7" spans="1:8" ht="12.75">
      <c r="A7" s="269" t="s">
        <v>514</v>
      </c>
      <c r="B7" s="252"/>
      <c r="C7" s="135" t="s">
        <v>515</v>
      </c>
      <c r="D7" s="107"/>
      <c r="E7" s="135" t="s">
        <v>517</v>
      </c>
      <c r="F7" s="107"/>
      <c r="G7" s="268" t="s">
        <v>516</v>
      </c>
      <c r="H7" s="268"/>
    </row>
    <row r="8" spans="1:8" ht="13.5" thickBot="1">
      <c r="A8" s="279" t="s">
        <v>518</v>
      </c>
      <c r="B8" s="280"/>
      <c r="C8" s="279" t="s">
        <v>518</v>
      </c>
      <c r="D8" s="280"/>
      <c r="E8" s="279" t="s">
        <v>518</v>
      </c>
      <c r="F8" s="280"/>
      <c r="G8" s="22"/>
      <c r="H8" s="22"/>
    </row>
    <row r="9" spans="1:8" ht="13.5" thickBot="1">
      <c r="A9" s="253">
        <v>200</v>
      </c>
      <c r="B9" s="254"/>
      <c r="C9" s="253">
        <v>100</v>
      </c>
      <c r="D9" s="254"/>
      <c r="E9" s="253">
        <v>130</v>
      </c>
      <c r="F9" s="254"/>
      <c r="G9" s="298">
        <f>(A9-E9)/(A9-C9)</f>
        <v>0.7</v>
      </c>
      <c r="H9" s="299"/>
    </row>
    <row r="11" ht="12.75">
      <c r="A11" s="5" t="s">
        <v>521</v>
      </c>
    </row>
    <row r="13" spans="1:9" ht="12.75">
      <c r="A13" s="269" t="s">
        <v>514</v>
      </c>
      <c r="B13" s="252"/>
      <c r="C13" s="135" t="s">
        <v>515</v>
      </c>
      <c r="D13" s="107"/>
      <c r="E13" s="269" t="s">
        <v>532</v>
      </c>
      <c r="F13" s="252"/>
      <c r="G13" s="268" t="s">
        <v>522</v>
      </c>
      <c r="H13" s="268"/>
      <c r="I13" s="268"/>
    </row>
    <row r="14" spans="1:9" ht="13.5" thickBot="1">
      <c r="A14" s="287" t="s">
        <v>518</v>
      </c>
      <c r="B14" s="289"/>
      <c r="C14" s="287" t="s">
        <v>518</v>
      </c>
      <c r="D14" s="289"/>
      <c r="E14" s="133"/>
      <c r="F14" s="134"/>
      <c r="G14" s="268" t="s">
        <v>518</v>
      </c>
      <c r="H14" s="268"/>
      <c r="I14" s="268"/>
    </row>
    <row r="15" spans="1:9" ht="13.5" thickBot="1">
      <c r="A15" s="253">
        <v>247</v>
      </c>
      <c r="B15" s="254"/>
      <c r="C15" s="253">
        <v>80</v>
      </c>
      <c r="D15" s="254"/>
      <c r="E15" s="253">
        <v>70</v>
      </c>
      <c r="F15" s="254"/>
      <c r="G15" s="296">
        <f>A15-(A15-C15)*(E15*0.01)</f>
        <v>130.1</v>
      </c>
      <c r="H15" s="296"/>
      <c r="I15" s="297"/>
    </row>
    <row r="17" ht="12.75">
      <c r="A17" s="5" t="s">
        <v>586</v>
      </c>
    </row>
    <row r="19" spans="1:10" ht="12.75">
      <c r="A19" s="110" t="s">
        <v>523</v>
      </c>
      <c r="B19" s="110" t="s">
        <v>292</v>
      </c>
      <c r="C19" s="110" t="s">
        <v>524</v>
      </c>
      <c r="D19" s="269" t="s">
        <v>290</v>
      </c>
      <c r="E19" s="252"/>
      <c r="F19" s="269" t="s">
        <v>528</v>
      </c>
      <c r="G19" s="252"/>
      <c r="H19" s="269" t="s">
        <v>531</v>
      </c>
      <c r="I19" s="286"/>
      <c r="J19" s="252"/>
    </row>
    <row r="20" spans="1:10" ht="12.75">
      <c r="A20" s="39" t="s">
        <v>511</v>
      </c>
      <c r="B20" s="39" t="s">
        <v>525</v>
      </c>
      <c r="C20" s="39" t="s">
        <v>220</v>
      </c>
      <c r="D20" s="269">
        <v>70</v>
      </c>
      <c r="E20" s="252"/>
      <c r="F20" s="269">
        <v>70</v>
      </c>
      <c r="G20" s="252"/>
      <c r="H20" s="287" t="s">
        <v>511</v>
      </c>
      <c r="I20" s="288"/>
      <c r="J20" s="289"/>
    </row>
    <row r="21" spans="1:10" s="1" customFormat="1" ht="12.75">
      <c r="A21" s="95">
        <v>15</v>
      </c>
      <c r="B21" s="95">
        <v>15</v>
      </c>
      <c r="C21" s="95">
        <v>80</v>
      </c>
      <c r="D21" s="279"/>
      <c r="E21" s="280"/>
      <c r="F21" s="279"/>
      <c r="G21" s="280"/>
      <c r="H21" s="253">
        <v>1</v>
      </c>
      <c r="I21" s="290"/>
      <c r="J21" s="254"/>
    </row>
    <row r="23" spans="1:10" ht="12.75">
      <c r="A23" s="281" t="s">
        <v>526</v>
      </c>
      <c r="B23" s="282"/>
      <c r="C23" s="132" t="s">
        <v>299</v>
      </c>
      <c r="D23" s="281" t="s">
        <v>300</v>
      </c>
      <c r="E23" s="282"/>
      <c r="F23" s="281" t="s">
        <v>527</v>
      </c>
      <c r="G23" s="283"/>
      <c r="H23" s="282"/>
      <c r="I23" s="281" t="s">
        <v>529</v>
      </c>
      <c r="J23" s="282"/>
    </row>
    <row r="24" spans="1:10" ht="12.75">
      <c r="A24" s="294">
        <f>(A21+B21)/B21</f>
        <v>2</v>
      </c>
      <c r="B24" s="285"/>
      <c r="C24" s="49">
        <f>(C21+460)*(POWER(A24,0.283)-1)</f>
        <v>117</v>
      </c>
      <c r="D24" s="238">
        <f>C24/(D20*0.01)</f>
        <v>167</v>
      </c>
      <c r="E24" s="271"/>
      <c r="F24" s="238">
        <f>C21+D24</f>
        <v>247</v>
      </c>
      <c r="G24" s="284"/>
      <c r="H24" s="285"/>
      <c r="I24" s="238">
        <f>F24-(F24-C21)*(F20*0.01)</f>
        <v>130</v>
      </c>
      <c r="J24" s="271"/>
    </row>
    <row r="26" spans="1:5" ht="13.5" thickBot="1">
      <c r="A26" s="295" t="s">
        <v>530</v>
      </c>
      <c r="B26" s="295"/>
      <c r="C26" s="295"/>
      <c r="D26" s="295"/>
      <c r="E26" s="295"/>
    </row>
    <row r="27" spans="1:5" ht="13.5" thickBot="1">
      <c r="A27" s="291">
        <f>((F24+460)/(I24+460))*((B21+(A21-H21))/(B21+A21))</f>
        <v>1.158</v>
      </c>
      <c r="B27" s="292"/>
      <c r="C27" s="292"/>
      <c r="D27" s="292"/>
      <c r="E27" s="293"/>
    </row>
  </sheetData>
  <mergeCells count="36">
    <mergeCell ref="G9:H9"/>
    <mergeCell ref="G7:H7"/>
    <mergeCell ref="A8:B8"/>
    <mergeCell ref="C8:D8"/>
    <mergeCell ref="E8:F8"/>
    <mergeCell ref="A7:B7"/>
    <mergeCell ref="A9:B9"/>
    <mergeCell ref="C9:D9"/>
    <mergeCell ref="E9:F9"/>
    <mergeCell ref="E13:F13"/>
    <mergeCell ref="E15:F15"/>
    <mergeCell ref="G13:I13"/>
    <mergeCell ref="G15:I15"/>
    <mergeCell ref="G14:I14"/>
    <mergeCell ref="A13:B13"/>
    <mergeCell ref="A14:B14"/>
    <mergeCell ref="A15:B15"/>
    <mergeCell ref="C14:D14"/>
    <mergeCell ref="C15:D15"/>
    <mergeCell ref="H21:J21"/>
    <mergeCell ref="A27:E27"/>
    <mergeCell ref="A24:B24"/>
    <mergeCell ref="D23:E23"/>
    <mergeCell ref="D24:E24"/>
    <mergeCell ref="A23:B23"/>
    <mergeCell ref="A26:E26"/>
    <mergeCell ref="D19:E19"/>
    <mergeCell ref="D20:E21"/>
    <mergeCell ref="I23:J23"/>
    <mergeCell ref="I24:J24"/>
    <mergeCell ref="F23:H23"/>
    <mergeCell ref="F24:H24"/>
    <mergeCell ref="F19:G19"/>
    <mergeCell ref="F20:G21"/>
    <mergeCell ref="H19:J19"/>
    <mergeCell ref="H20:J2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6:I26"/>
  <sheetViews>
    <sheetView workbookViewId="0" topLeftCell="A10">
      <selection activeCell="A10" sqref="A10"/>
    </sheetView>
  </sheetViews>
  <sheetFormatPr defaultColWidth="9.140625" defaultRowHeight="12.75"/>
  <sheetData>
    <row r="6" ht="12.75">
      <c r="A6" s="5" t="s">
        <v>941</v>
      </c>
    </row>
    <row r="8" spans="1:6" ht="12.75">
      <c r="A8" s="1" t="s">
        <v>942</v>
      </c>
      <c r="B8" s="1" t="s">
        <v>943</v>
      </c>
      <c r="C8" s="304" t="s">
        <v>944</v>
      </c>
      <c r="D8" s="304"/>
      <c r="F8" t="s">
        <v>945</v>
      </c>
    </row>
    <row r="9" spans="1:6" ht="12.75">
      <c r="A9" s="1">
        <v>0.4</v>
      </c>
      <c r="B9" s="1">
        <v>20</v>
      </c>
      <c r="C9" s="304">
        <v>60</v>
      </c>
      <c r="D9" s="304"/>
      <c r="F9">
        <f>(A9*B9*(POWER(C9,2)))/400</f>
        <v>72</v>
      </c>
    </row>
    <row r="11" ht="12.75">
      <c r="A11" s="5" t="s">
        <v>946</v>
      </c>
    </row>
    <row r="13" spans="1:6" ht="12.75">
      <c r="A13" s="1" t="s">
        <v>942</v>
      </c>
      <c r="B13" s="1" t="s">
        <v>943</v>
      </c>
      <c r="C13" s="304" t="s">
        <v>944</v>
      </c>
      <c r="D13" s="304"/>
      <c r="F13" t="s">
        <v>947</v>
      </c>
    </row>
    <row r="14" spans="1:6" ht="12.75">
      <c r="A14" s="1">
        <v>0.35</v>
      </c>
      <c r="B14" s="1">
        <v>20</v>
      </c>
      <c r="C14" s="304">
        <v>100</v>
      </c>
      <c r="D14" s="304"/>
      <c r="F14" s="232">
        <f>(A14*B14*(POWER(C14,3)))/150000</f>
        <v>46.7</v>
      </c>
    </row>
    <row r="15" ht="13.5" thickBot="1"/>
    <row r="16" spans="1:9" ht="12.75">
      <c r="A16" s="234" t="s">
        <v>948</v>
      </c>
      <c r="B16" s="158"/>
      <c r="C16" s="158"/>
      <c r="D16" s="158"/>
      <c r="E16" s="158"/>
      <c r="F16" s="158"/>
      <c r="G16" s="158"/>
      <c r="H16" s="158"/>
      <c r="I16" s="159"/>
    </row>
    <row r="17" spans="1:9" ht="12.75">
      <c r="A17" s="235"/>
      <c r="B17" s="17"/>
      <c r="C17" s="17"/>
      <c r="D17" s="17"/>
      <c r="E17" s="17"/>
      <c r="F17" s="17"/>
      <c r="G17" s="17"/>
      <c r="H17" s="17"/>
      <c r="I17" s="160"/>
    </row>
    <row r="18" spans="1:9" ht="12.75">
      <c r="A18" s="301" t="s">
        <v>46</v>
      </c>
      <c r="B18" s="288"/>
      <c r="C18" s="288" t="s">
        <v>949</v>
      </c>
      <c r="D18" s="288"/>
      <c r="E18" s="233" t="s">
        <v>950</v>
      </c>
      <c r="F18" s="111"/>
      <c r="G18" s="17"/>
      <c r="H18" s="17"/>
      <c r="I18" s="160"/>
    </row>
    <row r="19" spans="1:9" ht="12.75">
      <c r="A19" s="301">
        <v>100</v>
      </c>
      <c r="B19" s="288"/>
      <c r="C19" s="288">
        <v>1</v>
      </c>
      <c r="D19" s="288"/>
      <c r="E19" s="300">
        <f>(2*PI()*A19)/(POWER((1.225*A19)/C19,1/2)*1.467)</f>
        <v>38.7</v>
      </c>
      <c r="F19" s="300"/>
      <c r="G19" s="17"/>
      <c r="H19" s="17"/>
      <c r="I19" s="160"/>
    </row>
    <row r="20" spans="1:9" ht="12.75">
      <c r="A20" s="235"/>
      <c r="B20" s="17"/>
      <c r="C20" s="17"/>
      <c r="D20" s="17"/>
      <c r="E20" s="17"/>
      <c r="F20" s="17"/>
      <c r="G20" s="17"/>
      <c r="H20" s="17"/>
      <c r="I20" s="160"/>
    </row>
    <row r="21" spans="1:9" ht="12.75">
      <c r="A21" s="302" t="s">
        <v>40</v>
      </c>
      <c r="B21" s="303"/>
      <c r="C21" s="303" t="s">
        <v>953</v>
      </c>
      <c r="D21" s="303"/>
      <c r="E21" s="17" t="s">
        <v>951</v>
      </c>
      <c r="F21" s="17"/>
      <c r="G21" s="17"/>
      <c r="H21" s="17"/>
      <c r="I21" s="160"/>
    </row>
    <row r="22" spans="1:9" ht="12.75">
      <c r="A22" s="302">
        <v>2000</v>
      </c>
      <c r="B22" s="303"/>
      <c r="C22" s="303">
        <v>1000</v>
      </c>
      <c r="D22" s="303"/>
      <c r="E22" s="303">
        <f>C22/A22+C19</f>
        <v>1.5</v>
      </c>
      <c r="F22" s="303"/>
      <c r="G22" s="303"/>
      <c r="H22" s="303"/>
      <c r="I22" s="160"/>
    </row>
    <row r="23" spans="1:9" ht="12.75">
      <c r="A23" s="235"/>
      <c r="B23" s="17"/>
      <c r="C23" s="17"/>
      <c r="D23" s="17"/>
      <c r="E23" s="17"/>
      <c r="F23" s="17"/>
      <c r="G23" s="17"/>
      <c r="H23" s="17"/>
      <c r="I23" s="160"/>
    </row>
    <row r="24" spans="1:9" ht="12.75">
      <c r="A24" s="235"/>
      <c r="B24" s="17"/>
      <c r="C24" s="17"/>
      <c r="D24" s="17"/>
      <c r="E24" s="303" t="s">
        <v>952</v>
      </c>
      <c r="F24" s="303"/>
      <c r="G24" s="303"/>
      <c r="H24" s="17"/>
      <c r="I24" s="160"/>
    </row>
    <row r="25" spans="1:9" ht="12.75">
      <c r="A25" s="235"/>
      <c r="B25" s="17"/>
      <c r="C25" s="17"/>
      <c r="D25" s="17"/>
      <c r="E25" s="300">
        <f>(2*PI()*A19)/(POWER((1.225*A19)/E22,1/2)*1.467)</f>
        <v>47.39</v>
      </c>
      <c r="F25" s="300"/>
      <c r="G25" s="300"/>
      <c r="H25" s="17"/>
      <c r="I25" s="160"/>
    </row>
    <row r="26" spans="1:9" ht="13.5" thickBot="1">
      <c r="A26" s="236"/>
      <c r="B26" s="161"/>
      <c r="C26" s="161"/>
      <c r="D26" s="161"/>
      <c r="E26" s="161"/>
      <c r="F26" s="161"/>
      <c r="G26" s="161"/>
      <c r="H26" s="161"/>
      <c r="I26" s="178"/>
    </row>
  </sheetData>
  <mergeCells count="16">
    <mergeCell ref="C9:D9"/>
    <mergeCell ref="C8:D8"/>
    <mergeCell ref="C13:D13"/>
    <mergeCell ref="C14:D14"/>
    <mergeCell ref="A22:B22"/>
    <mergeCell ref="C22:D22"/>
    <mergeCell ref="E22:H22"/>
    <mergeCell ref="E24:G24"/>
    <mergeCell ref="A18:B18"/>
    <mergeCell ref="A19:B19"/>
    <mergeCell ref="A21:B21"/>
    <mergeCell ref="C21:D21"/>
    <mergeCell ref="E25:G25"/>
    <mergeCell ref="C18:D18"/>
    <mergeCell ref="C19:D19"/>
    <mergeCell ref="E19:F1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2:Y80"/>
  <sheetViews>
    <sheetView zoomScale="75" zoomScaleNormal="75" workbookViewId="0" topLeftCell="A1">
      <selection activeCell="A73" sqref="A73:F74"/>
    </sheetView>
  </sheetViews>
  <sheetFormatPr defaultColWidth="9.140625" defaultRowHeight="12.75"/>
  <cols>
    <col min="1" max="1" width="9.140625" style="1" customWidth="1"/>
    <col min="3" max="3" width="11.00390625" style="0" customWidth="1"/>
    <col min="5" max="5" width="13.7109375" style="0" customWidth="1"/>
    <col min="6" max="6" width="10.421875" style="1" customWidth="1"/>
    <col min="7" max="7" width="13.28125" style="0" customWidth="1"/>
    <col min="9" max="9" width="13.7109375" style="0" customWidth="1"/>
    <col min="10" max="10" width="13.8515625" style="0" customWidth="1"/>
    <col min="11" max="11" width="7.421875" style="0" customWidth="1"/>
  </cols>
  <sheetData>
    <row r="1" ht="12.75"/>
    <row r="2" spans="1:10" ht="15">
      <c r="A2" s="331" t="s">
        <v>644</v>
      </c>
      <c r="B2" s="331"/>
      <c r="C2" s="331"/>
      <c r="D2" s="331"/>
      <c r="E2" s="331"/>
      <c r="F2" s="331"/>
      <c r="G2" s="331"/>
      <c r="H2" s="331"/>
      <c r="I2" s="331"/>
      <c r="J2" s="331"/>
    </row>
    <row r="3" spans="1:10" ht="15">
      <c r="A3" s="331" t="s">
        <v>645</v>
      </c>
      <c r="B3" s="331"/>
      <c r="C3" s="331"/>
      <c r="D3" s="331"/>
      <c r="E3" s="331"/>
      <c r="F3" s="331"/>
      <c r="G3" s="331"/>
      <c r="H3" s="331"/>
      <c r="I3" s="331"/>
      <c r="J3" s="331"/>
    </row>
    <row r="4" spans="1:10" ht="15">
      <c r="A4" s="332" t="s">
        <v>647</v>
      </c>
      <c r="B4" s="330"/>
      <c r="C4" s="330"/>
      <c r="D4" s="330"/>
      <c r="E4" s="330"/>
      <c r="F4" s="330"/>
      <c r="G4" s="330"/>
      <c r="H4" s="330"/>
      <c r="I4" s="330"/>
      <c r="J4" s="330"/>
    </row>
    <row r="5" spans="1:10" ht="15">
      <c r="A5" s="330" t="s">
        <v>646</v>
      </c>
      <c r="B5" s="330"/>
      <c r="C5" s="330"/>
      <c r="D5" s="330"/>
      <c r="E5" s="330"/>
      <c r="F5" s="330"/>
      <c r="G5" s="330"/>
      <c r="H5" s="330"/>
      <c r="I5" s="330"/>
      <c r="J5" s="330"/>
    </row>
    <row r="6" spans="1:10" ht="15">
      <c r="A6" s="330" t="s">
        <v>648</v>
      </c>
      <c r="B6" s="330"/>
      <c r="C6" s="330"/>
      <c r="D6" s="330"/>
      <c r="E6" s="330"/>
      <c r="F6" s="330"/>
      <c r="G6" s="330"/>
      <c r="H6" s="330"/>
      <c r="I6" s="330"/>
      <c r="J6" s="330"/>
    </row>
    <row r="7" spans="1:10" ht="15">
      <c r="A7" s="207" t="s">
        <v>649</v>
      </c>
      <c r="B7" s="207"/>
      <c r="C7" s="207"/>
      <c r="D7" s="207"/>
      <c r="E7" s="207"/>
      <c r="F7" s="207"/>
      <c r="G7" s="207"/>
      <c r="H7" s="207"/>
      <c r="I7" s="207"/>
      <c r="J7" s="207"/>
    </row>
    <row r="8" spans="1:10" ht="15">
      <c r="A8" s="207" t="s">
        <v>650</v>
      </c>
      <c r="B8" s="207"/>
      <c r="C8" s="207"/>
      <c r="D8" s="207"/>
      <c r="E8" s="207"/>
      <c r="F8" s="207"/>
      <c r="G8" s="207"/>
      <c r="H8" s="207"/>
      <c r="I8" s="207"/>
      <c r="J8" s="207"/>
    </row>
    <row r="9" spans="1:10" ht="12.75">
      <c r="A9" s="190"/>
      <c r="B9" s="124"/>
      <c r="C9" s="124"/>
      <c r="D9" s="124"/>
      <c r="E9" s="124"/>
      <c r="F9" s="189"/>
      <c r="G9" s="124"/>
      <c r="H9" s="124"/>
      <c r="I9" s="124"/>
      <c r="J9" s="124"/>
    </row>
    <row r="10" spans="1:10" ht="12.75">
      <c r="A10" s="197" t="s">
        <v>616</v>
      </c>
      <c r="B10" s="124"/>
      <c r="C10" s="124"/>
      <c r="D10" s="124"/>
      <c r="F10" s="198">
        <v>2000</v>
      </c>
      <c r="G10" s="124"/>
      <c r="H10" s="124"/>
      <c r="I10" s="124"/>
      <c r="J10" s="124"/>
    </row>
    <row r="11" ht="13.5" thickBot="1"/>
    <row r="12" spans="1:7" ht="12.75">
      <c r="A12" s="334" t="s">
        <v>26</v>
      </c>
      <c r="B12" s="335"/>
      <c r="C12" s="335"/>
      <c r="D12" s="335"/>
      <c r="E12" s="158"/>
      <c r="F12" s="139"/>
      <c r="G12" s="159"/>
    </row>
    <row r="13" spans="1:7" ht="12.75">
      <c r="A13" s="141"/>
      <c r="B13" s="17"/>
      <c r="C13" s="17"/>
      <c r="D13" s="17"/>
      <c r="E13" s="17"/>
      <c r="F13" s="111"/>
      <c r="G13" s="160"/>
    </row>
    <row r="14" spans="1:7" ht="13.5" thickBot="1">
      <c r="A14" s="301" t="s">
        <v>7</v>
      </c>
      <c r="B14" s="288"/>
      <c r="C14" s="288" t="s">
        <v>27</v>
      </c>
      <c r="D14" s="288"/>
      <c r="E14" s="288"/>
      <c r="F14" s="162" t="s">
        <v>617</v>
      </c>
      <c r="G14" s="163" t="s">
        <v>618</v>
      </c>
    </row>
    <row r="15" spans="1:7" ht="13.5" thickBot="1">
      <c r="A15" s="315">
        <f>F10</f>
        <v>2000</v>
      </c>
      <c r="B15" s="316"/>
      <c r="C15" s="253">
        <v>1590</v>
      </c>
      <c r="D15" s="290"/>
      <c r="E15" s="254"/>
      <c r="F15" s="102">
        <f>C15/A15*100</f>
        <v>79.5</v>
      </c>
      <c r="G15" s="53">
        <f>100-F15</f>
        <v>20.5</v>
      </c>
    </row>
    <row r="16" spans="1:7" ht="13.5" thickBot="1">
      <c r="A16" s="315">
        <f>'Base Data'!G27</f>
        <v>3292</v>
      </c>
      <c r="B16" s="316"/>
      <c r="C16" s="253">
        <v>750</v>
      </c>
      <c r="D16" s="290"/>
      <c r="E16" s="254"/>
      <c r="F16" s="102">
        <f>C16/A16*100</f>
        <v>22.7825030376671</v>
      </c>
      <c r="G16" s="53">
        <f>100-F16</f>
        <v>77.2174969623329</v>
      </c>
    </row>
    <row r="17" spans="1:7" ht="12.75">
      <c r="A17" s="141"/>
      <c r="B17" s="17"/>
      <c r="C17" s="17"/>
      <c r="D17" s="17"/>
      <c r="E17" s="17"/>
      <c r="F17" s="111"/>
      <c r="G17" s="160"/>
    </row>
    <row r="18" spans="1:7" ht="12.75">
      <c r="A18" s="336" t="s">
        <v>28</v>
      </c>
      <c r="B18" s="337"/>
      <c r="C18" s="337"/>
      <c r="D18" s="337"/>
      <c r="E18" s="17"/>
      <c r="F18" s="111"/>
      <c r="G18" s="160"/>
    </row>
    <row r="19" spans="1:7" ht="12.75">
      <c r="A19" s="141"/>
      <c r="B19" s="17"/>
      <c r="C19" s="17"/>
      <c r="D19" s="17"/>
      <c r="E19" s="17"/>
      <c r="F19" s="111"/>
      <c r="G19" s="160"/>
    </row>
    <row r="20" spans="1:7" ht="13.5" thickBot="1">
      <c r="A20" s="301" t="s">
        <v>7</v>
      </c>
      <c r="B20" s="288"/>
      <c r="C20" s="288" t="s">
        <v>29</v>
      </c>
      <c r="D20" s="288"/>
      <c r="E20" s="288"/>
      <c r="F20" s="162" t="s">
        <v>619</v>
      </c>
      <c r="G20" s="163" t="s">
        <v>620</v>
      </c>
    </row>
    <row r="21" spans="1:7" ht="13.5" thickBot="1">
      <c r="A21" s="315">
        <f>F10</f>
        <v>2000</v>
      </c>
      <c r="B21" s="316"/>
      <c r="C21" s="253">
        <v>750</v>
      </c>
      <c r="D21" s="290"/>
      <c r="E21" s="254"/>
      <c r="F21" s="102">
        <f>C21/A21*100</f>
        <v>37.5</v>
      </c>
      <c r="G21" s="53">
        <f>100-F21</f>
        <v>62.5</v>
      </c>
    </row>
    <row r="22" spans="1:7" ht="13.5" thickBot="1">
      <c r="A22" s="315">
        <f>A16</f>
        <v>3292</v>
      </c>
      <c r="B22" s="316"/>
      <c r="C22" s="339">
        <v>750</v>
      </c>
      <c r="D22" s="339"/>
      <c r="E22" s="340"/>
      <c r="F22" s="53">
        <f>C22/A22*100</f>
        <v>22.7825030376671</v>
      </c>
      <c r="G22" s="53">
        <f>100-F22</f>
        <v>77.2174969623329</v>
      </c>
    </row>
    <row r="24" spans="1:6" ht="12.75">
      <c r="A24" s="295" t="s">
        <v>30</v>
      </c>
      <c r="B24" s="295"/>
      <c r="C24" s="295"/>
      <c r="D24" s="295"/>
      <c r="E24" s="295"/>
      <c r="F24" s="295"/>
    </row>
    <row r="26" spans="1:11" ht="13.5" thickBot="1">
      <c r="A26" s="313" t="s">
        <v>7</v>
      </c>
      <c r="B26" s="313"/>
      <c r="C26" s="313" t="s">
        <v>31</v>
      </c>
      <c r="D26" s="313"/>
      <c r="E26" s="313" t="s">
        <v>8</v>
      </c>
      <c r="F26" s="313"/>
      <c r="G26" s="313"/>
      <c r="H26" s="268" t="s">
        <v>32</v>
      </c>
      <c r="I26" s="268"/>
      <c r="J26" s="268"/>
      <c r="K26" s="268"/>
    </row>
    <row r="27" spans="1:11" ht="13.5" thickBot="1">
      <c r="A27" s="315">
        <f>F10</f>
        <v>2000</v>
      </c>
      <c r="B27" s="316"/>
      <c r="C27" s="253">
        <v>1590</v>
      </c>
      <c r="D27" s="254"/>
      <c r="E27" s="253">
        <v>108</v>
      </c>
      <c r="F27" s="290"/>
      <c r="G27" s="254"/>
      <c r="H27" s="296">
        <f>C27/A27*E27</f>
        <v>85.86</v>
      </c>
      <c r="I27" s="296"/>
      <c r="J27" s="296"/>
      <c r="K27" s="297"/>
    </row>
    <row r="28" spans="1:11" ht="13.5" thickBot="1">
      <c r="A28" s="315">
        <f>A16</f>
        <v>3292</v>
      </c>
      <c r="B28" s="316"/>
      <c r="C28" s="315">
        <f>A16-C16</f>
        <v>2542</v>
      </c>
      <c r="D28" s="316"/>
      <c r="E28" s="315">
        <f>'Base Data'!G29</f>
        <v>102</v>
      </c>
      <c r="F28" s="338"/>
      <c r="G28" s="316"/>
      <c r="H28" s="296">
        <f>C28/A28*E28</f>
        <v>78.7618469015796</v>
      </c>
      <c r="I28" s="296"/>
      <c r="J28" s="296"/>
      <c r="K28" s="297"/>
    </row>
    <row r="30" spans="1:5" ht="12.75">
      <c r="A30" s="295" t="s">
        <v>33</v>
      </c>
      <c r="B30" s="295"/>
      <c r="C30" s="295"/>
      <c r="D30" s="295"/>
      <c r="E30" s="295"/>
    </row>
    <row r="32" spans="1:10" ht="13.5" thickBot="1">
      <c r="A32" s="313" t="s">
        <v>7</v>
      </c>
      <c r="B32" s="313"/>
      <c r="C32" s="313" t="s">
        <v>34</v>
      </c>
      <c r="D32" s="313"/>
      <c r="E32" s="313"/>
      <c r="F32" s="3" t="s">
        <v>9</v>
      </c>
      <c r="G32" s="310" t="s">
        <v>621</v>
      </c>
      <c r="H32" s="310"/>
      <c r="I32" s="310"/>
      <c r="J32" s="310"/>
    </row>
    <row r="33" spans="1:10" ht="13.5" thickBot="1">
      <c r="A33" s="315">
        <f>F10</f>
        <v>2000</v>
      </c>
      <c r="B33" s="316"/>
      <c r="C33" s="253">
        <v>1410</v>
      </c>
      <c r="D33" s="290"/>
      <c r="E33" s="254"/>
      <c r="F33" s="103">
        <v>63</v>
      </c>
      <c r="G33" s="314">
        <f>F33/2-(C33/A33)*F33</f>
        <v>-12.915</v>
      </c>
      <c r="H33" s="296"/>
      <c r="I33" s="296"/>
      <c r="J33" s="297"/>
    </row>
    <row r="34" spans="1:10" ht="13.5" thickBot="1">
      <c r="A34" s="315">
        <f>A16</f>
        <v>3292</v>
      </c>
      <c r="B34" s="316"/>
      <c r="C34" s="253">
        <v>700</v>
      </c>
      <c r="D34" s="290"/>
      <c r="E34" s="254"/>
      <c r="F34" s="214">
        <f>'Base Data'!G31</f>
        <v>60</v>
      </c>
      <c r="G34" s="314">
        <f>F34/2-(C34/A34)*F34</f>
        <v>17.2417982989064</v>
      </c>
      <c r="H34" s="296"/>
      <c r="I34" s="296"/>
      <c r="J34" s="297"/>
    </row>
    <row r="35" spans="1:10" ht="12.75">
      <c r="A35" s="16"/>
      <c r="B35" s="16"/>
      <c r="C35" s="16"/>
      <c r="D35" s="16"/>
      <c r="E35" s="16"/>
      <c r="F35" s="16"/>
      <c r="G35" s="16"/>
      <c r="H35" s="16"/>
      <c r="I35" s="16"/>
      <c r="J35" s="7"/>
    </row>
    <row r="36" spans="1:10" ht="12.75">
      <c r="A36" s="333" t="s">
        <v>597</v>
      </c>
      <c r="B36" s="333"/>
      <c r="C36" s="333"/>
      <c r="D36" s="333"/>
      <c r="E36" s="333"/>
      <c r="F36" s="333"/>
      <c r="G36" s="16"/>
      <c r="H36" s="16"/>
      <c r="I36" s="16"/>
      <c r="J36" s="7"/>
    </row>
    <row r="37" spans="1:10" ht="12.75">
      <c r="A37" s="16"/>
      <c r="B37" s="16"/>
      <c r="C37" s="16"/>
      <c r="D37" s="16"/>
      <c r="E37" s="16"/>
      <c r="F37" s="16"/>
      <c r="G37" s="16"/>
      <c r="H37" s="16"/>
      <c r="I37" s="16"/>
      <c r="J37" s="7"/>
    </row>
    <row r="38" spans="1:11" ht="12.75">
      <c r="A38" s="288" t="s">
        <v>598</v>
      </c>
      <c r="B38" s="288"/>
      <c r="C38" s="288" t="s">
        <v>600</v>
      </c>
      <c r="D38" s="288"/>
      <c r="E38" s="109" t="s">
        <v>7</v>
      </c>
      <c r="F38" s="109" t="s">
        <v>604</v>
      </c>
      <c r="G38" s="109" t="s">
        <v>605</v>
      </c>
      <c r="H38" s="313" t="s">
        <v>601</v>
      </c>
      <c r="I38" s="313"/>
      <c r="J38" s="313" t="s">
        <v>602</v>
      </c>
      <c r="K38" s="313"/>
    </row>
    <row r="39" spans="1:11" ht="12.75">
      <c r="A39" s="253">
        <v>108</v>
      </c>
      <c r="B39" s="254"/>
      <c r="C39" s="253">
        <v>24</v>
      </c>
      <c r="D39" s="254"/>
      <c r="E39" s="113">
        <f>F10</f>
        <v>2000</v>
      </c>
      <c r="F39" s="103">
        <v>1410</v>
      </c>
      <c r="G39" s="103">
        <v>1590</v>
      </c>
      <c r="H39" s="253">
        <v>1518</v>
      </c>
      <c r="I39" s="254"/>
      <c r="J39" s="253">
        <v>1482</v>
      </c>
      <c r="K39" s="254"/>
    </row>
    <row r="40" spans="1:11" ht="12.75">
      <c r="A40" s="315">
        <f>E28</f>
        <v>102</v>
      </c>
      <c r="B40" s="316"/>
      <c r="C40" s="253">
        <v>24</v>
      </c>
      <c r="D40" s="254"/>
      <c r="E40" s="113">
        <f>A34</f>
        <v>3292</v>
      </c>
      <c r="F40" s="113">
        <f>E40-G40</f>
        <v>750</v>
      </c>
      <c r="G40" s="113">
        <f>C28</f>
        <v>2542</v>
      </c>
      <c r="H40" s="253">
        <v>775</v>
      </c>
      <c r="I40" s="254"/>
      <c r="J40" s="253"/>
      <c r="K40" s="254"/>
    </row>
    <row r="41" spans="1:11" ht="12.75">
      <c r="A41" s="16"/>
      <c r="B41" s="16"/>
      <c r="C41" s="16"/>
      <c r="D41" s="16"/>
      <c r="E41" s="16"/>
      <c r="F41" s="16"/>
      <c r="G41" s="16"/>
      <c r="H41" s="16"/>
      <c r="I41" s="16"/>
      <c r="J41" s="16"/>
      <c r="K41" s="16"/>
    </row>
    <row r="42" spans="1:10" ht="12.75">
      <c r="A42" s="16"/>
      <c r="B42" s="16"/>
      <c r="C42" s="16"/>
      <c r="D42" s="16"/>
      <c r="E42" s="16"/>
      <c r="F42" s="16"/>
      <c r="G42" s="16"/>
      <c r="H42" s="16"/>
      <c r="I42" s="16"/>
      <c r="J42" s="7"/>
    </row>
    <row r="43" spans="1:10" ht="13.5" thickBot="1">
      <c r="A43" s="244" t="s">
        <v>599</v>
      </c>
      <c r="B43" s="244"/>
      <c r="C43" s="191" t="s">
        <v>603</v>
      </c>
      <c r="D43" s="16"/>
      <c r="E43" s="16"/>
      <c r="F43" s="16"/>
      <c r="G43" s="310" t="s">
        <v>622</v>
      </c>
      <c r="H43" s="310"/>
      <c r="I43" s="310"/>
      <c r="J43" s="7"/>
    </row>
    <row r="44" spans="1:9" s="124" customFormat="1" ht="13.5" thickBot="1">
      <c r="A44" s="317">
        <f>SQRT((POWER(A39,2)-POWER(C39,2)))</f>
        <v>105.3</v>
      </c>
      <c r="B44" s="318"/>
      <c r="C44" s="193">
        <f>H39-F39</f>
        <v>108</v>
      </c>
      <c r="F44" s="189"/>
      <c r="G44" s="322">
        <f>(A39*A44*C44)/(C39*E39)</f>
        <v>25.59</v>
      </c>
      <c r="H44" s="323"/>
      <c r="I44" s="324"/>
    </row>
    <row r="45" spans="1:9" s="124" customFormat="1" ht="13.5" thickBot="1">
      <c r="A45" s="317">
        <f>SQRT((POWER(A40,2)-POWER(C40,2)))</f>
        <v>99.14</v>
      </c>
      <c r="B45" s="318"/>
      <c r="C45" s="193">
        <f>H40-F40</f>
        <v>25</v>
      </c>
      <c r="F45" s="189"/>
      <c r="G45" s="322">
        <f>(A40*A45*C45)/(C40*E40)</f>
        <v>3.2</v>
      </c>
      <c r="H45" s="323"/>
      <c r="I45" s="324"/>
    </row>
    <row r="46" spans="1:6" s="124" customFormat="1" ht="13.5" thickBot="1">
      <c r="A46" s="16"/>
      <c r="B46" s="16"/>
      <c r="C46" s="192"/>
      <c r="F46" s="189"/>
    </row>
    <row r="47" spans="1:9" ht="12.75">
      <c r="A47" s="138" t="s">
        <v>35</v>
      </c>
      <c r="B47" s="158"/>
      <c r="C47" s="158"/>
      <c r="D47" s="158"/>
      <c r="E47" s="158"/>
      <c r="F47" s="139"/>
      <c r="G47" s="158"/>
      <c r="H47" s="159"/>
      <c r="I47" s="17"/>
    </row>
    <row r="48" spans="1:25" ht="12.75">
      <c r="A48" s="302" t="s">
        <v>595</v>
      </c>
      <c r="B48" s="303"/>
      <c r="C48" s="303"/>
      <c r="D48" s="303"/>
      <c r="E48" s="303"/>
      <c r="F48" s="303"/>
      <c r="G48" s="303"/>
      <c r="H48" s="327"/>
      <c r="I48" s="62" t="s">
        <v>462</v>
      </c>
      <c r="J48" s="63"/>
      <c r="K48" s="63" t="s">
        <v>463</v>
      </c>
      <c r="L48" s="63" t="s">
        <v>464</v>
      </c>
      <c r="M48" s="63" t="s">
        <v>465</v>
      </c>
      <c r="N48" s="63" t="s">
        <v>466</v>
      </c>
      <c r="O48" s="186" t="s">
        <v>474</v>
      </c>
      <c r="P48" s="63" t="s">
        <v>478</v>
      </c>
      <c r="Q48" s="63"/>
      <c r="R48" s="63"/>
      <c r="S48" s="63"/>
      <c r="T48" s="63"/>
      <c r="U48" s="63"/>
      <c r="V48" s="63"/>
      <c r="W48" s="63"/>
      <c r="X48" s="63"/>
      <c r="Y48" s="64"/>
    </row>
    <row r="49" spans="1:25" ht="13.5" thickBot="1">
      <c r="A49" s="301" t="s">
        <v>5</v>
      </c>
      <c r="B49" s="288"/>
      <c r="C49" s="288" t="s">
        <v>36</v>
      </c>
      <c r="D49" s="288"/>
      <c r="E49" s="288" t="s">
        <v>37</v>
      </c>
      <c r="F49" s="288"/>
      <c r="G49" s="309" t="s">
        <v>35</v>
      </c>
      <c r="H49" s="345"/>
      <c r="I49" s="65"/>
      <c r="J49" s="66"/>
      <c r="K49" s="66"/>
      <c r="L49" s="66"/>
      <c r="M49" s="66"/>
      <c r="N49" s="66"/>
      <c r="O49" s="78"/>
      <c r="P49" s="66"/>
      <c r="Q49" s="66"/>
      <c r="R49" s="66"/>
      <c r="S49" s="66"/>
      <c r="T49" s="66"/>
      <c r="U49" s="66"/>
      <c r="V49" s="66"/>
      <c r="W49" s="66"/>
      <c r="X49" s="66"/>
      <c r="Y49" s="67"/>
    </row>
    <row r="50" spans="1:25" ht="13.5" thickBot="1">
      <c r="A50" s="253">
        <v>200</v>
      </c>
      <c r="B50" s="254"/>
      <c r="C50" s="253">
        <v>3.8</v>
      </c>
      <c r="D50" s="254"/>
      <c r="E50" s="253">
        <v>4.38</v>
      </c>
      <c r="F50" s="254"/>
      <c r="G50" s="326">
        <f>A50*C50*E50*0.85</f>
        <v>2829</v>
      </c>
      <c r="H50" s="306"/>
      <c r="I50" s="70" t="s">
        <v>467</v>
      </c>
      <c r="J50" s="71"/>
      <c r="K50" s="184">
        <v>3.6</v>
      </c>
      <c r="L50" s="72">
        <v>2.07</v>
      </c>
      <c r="M50" s="184">
        <v>1.25</v>
      </c>
      <c r="N50" s="72">
        <v>0.8</v>
      </c>
      <c r="O50" s="185" t="s">
        <v>473</v>
      </c>
      <c r="P50" s="66"/>
      <c r="Q50" s="66"/>
      <c r="R50" s="66"/>
      <c r="S50" s="66"/>
      <c r="T50" s="66"/>
      <c r="U50" s="66"/>
      <c r="V50" s="66"/>
      <c r="W50" s="66"/>
      <c r="X50" s="66"/>
      <c r="Y50" s="67"/>
    </row>
    <row r="51" spans="1:25" ht="13.5" thickBot="1">
      <c r="A51" s="315">
        <f>'Base Data'!G23</f>
        <v>87</v>
      </c>
      <c r="B51" s="316"/>
      <c r="C51" s="253">
        <v>3.8</v>
      </c>
      <c r="D51" s="254"/>
      <c r="E51" s="253">
        <v>4.38</v>
      </c>
      <c r="F51" s="254"/>
      <c r="G51" s="326">
        <f>A51*C51*E51*0.85</f>
        <v>1231</v>
      </c>
      <c r="H51" s="306"/>
      <c r="I51" s="65" t="s">
        <v>468</v>
      </c>
      <c r="J51" s="66"/>
      <c r="K51" s="184">
        <v>3.6</v>
      </c>
      <c r="L51" s="68">
        <v>1.88</v>
      </c>
      <c r="M51" s="184">
        <v>1.22</v>
      </c>
      <c r="N51" s="68">
        <v>0.82</v>
      </c>
      <c r="O51" s="185">
        <v>4.43</v>
      </c>
      <c r="P51" s="66"/>
      <c r="Q51" s="66"/>
      <c r="R51" s="66"/>
      <c r="S51" s="66"/>
      <c r="T51" s="66"/>
      <c r="U51" s="66"/>
      <c r="V51" s="66"/>
      <c r="W51" s="66"/>
      <c r="X51" s="66"/>
      <c r="Y51" s="67"/>
    </row>
    <row r="52" spans="1:25" ht="12.75">
      <c r="A52" s="141"/>
      <c r="B52" s="17"/>
      <c r="C52" s="17"/>
      <c r="D52" s="17"/>
      <c r="E52" s="17"/>
      <c r="F52" s="111"/>
      <c r="G52" s="17"/>
      <c r="H52" s="17"/>
      <c r="I52" s="70" t="s">
        <v>470</v>
      </c>
      <c r="J52" s="71"/>
      <c r="K52" s="184">
        <v>3.8</v>
      </c>
      <c r="L52" s="72">
        <v>2.06</v>
      </c>
      <c r="M52" s="184" t="s">
        <v>475</v>
      </c>
      <c r="N52" s="72" t="s">
        <v>476</v>
      </c>
      <c r="O52" s="185">
        <v>4.38</v>
      </c>
      <c r="P52" s="71" t="s">
        <v>479</v>
      </c>
      <c r="Q52" s="71"/>
      <c r="R52" s="71"/>
      <c r="S52" s="71"/>
      <c r="T52" s="71"/>
      <c r="U52" s="71"/>
      <c r="V52" s="74"/>
      <c r="W52" s="74"/>
      <c r="X52" s="66"/>
      <c r="Y52" s="67"/>
    </row>
    <row r="53" spans="1:25" ht="12.75">
      <c r="A53" s="146" t="s">
        <v>38</v>
      </c>
      <c r="B53" s="17"/>
      <c r="C53" s="17"/>
      <c r="D53" s="17"/>
      <c r="E53" s="17"/>
      <c r="F53" s="111"/>
      <c r="G53" s="17"/>
      <c r="H53" s="160"/>
      <c r="I53" s="65" t="s">
        <v>471</v>
      </c>
      <c r="J53" s="66"/>
      <c r="K53" s="184">
        <v>3.8</v>
      </c>
      <c r="L53" s="68">
        <v>2.06</v>
      </c>
      <c r="M53" s="184">
        <v>1.26</v>
      </c>
      <c r="N53" s="68">
        <v>0.89</v>
      </c>
      <c r="O53" s="185">
        <v>4.13</v>
      </c>
      <c r="P53" s="66"/>
      <c r="Q53" s="66"/>
      <c r="R53" s="66"/>
      <c r="S53" s="66"/>
      <c r="T53" s="66"/>
      <c r="U53" s="66"/>
      <c r="V53" s="66"/>
      <c r="W53" s="66"/>
      <c r="X53" s="66"/>
      <c r="Y53" s="67"/>
    </row>
    <row r="54" spans="1:25" ht="12.75">
      <c r="A54" s="141"/>
      <c r="B54" s="17"/>
      <c r="C54" s="17"/>
      <c r="D54" s="17"/>
      <c r="E54" s="17"/>
      <c r="F54" s="111"/>
      <c r="G54" s="17"/>
      <c r="H54" s="160"/>
      <c r="I54" s="70" t="s">
        <v>472</v>
      </c>
      <c r="J54" s="71"/>
      <c r="K54" s="184">
        <v>3.78</v>
      </c>
      <c r="L54" s="72">
        <v>2.06</v>
      </c>
      <c r="M54" s="184">
        <v>1.26</v>
      </c>
      <c r="N54" s="72" t="s">
        <v>476</v>
      </c>
      <c r="O54" s="185" t="s">
        <v>477</v>
      </c>
      <c r="P54" s="71" t="s">
        <v>480</v>
      </c>
      <c r="Q54" s="71"/>
      <c r="R54" s="71"/>
      <c r="S54" s="71"/>
      <c r="T54" s="71"/>
      <c r="U54" s="71"/>
      <c r="V54" s="71"/>
      <c r="W54" s="71"/>
      <c r="X54" s="71"/>
      <c r="Y54" s="74"/>
    </row>
    <row r="55" spans="1:9" ht="13.5" thickBot="1">
      <c r="A55" s="301" t="s">
        <v>35</v>
      </c>
      <c r="B55" s="288"/>
      <c r="C55" s="288" t="s">
        <v>39</v>
      </c>
      <c r="D55" s="288"/>
      <c r="E55" s="17"/>
      <c r="F55" s="111"/>
      <c r="G55" s="309" t="s">
        <v>38</v>
      </c>
      <c r="H55" s="345"/>
      <c r="I55" s="17"/>
    </row>
    <row r="56" spans="1:9" ht="13.5" thickBot="1">
      <c r="A56" s="319">
        <v>2829</v>
      </c>
      <c r="B56" s="320"/>
      <c r="C56" s="253">
        <v>25</v>
      </c>
      <c r="D56" s="254"/>
      <c r="E56" s="17"/>
      <c r="F56" s="111"/>
      <c r="G56" s="305">
        <f>A56/C56</f>
        <v>113</v>
      </c>
      <c r="H56" s="306"/>
      <c r="I56" s="17"/>
    </row>
    <row r="57" spans="1:9" ht="13.5" thickBot="1">
      <c r="A57" s="328">
        <f>G51</f>
        <v>1231</v>
      </c>
      <c r="B57" s="329"/>
      <c r="C57" s="315">
        <f>'Base Data'!G33</f>
        <v>25</v>
      </c>
      <c r="D57" s="316"/>
      <c r="E57" s="341" t="s">
        <v>567</v>
      </c>
      <c r="F57" s="342"/>
      <c r="G57" s="305">
        <f>A57/C57</f>
        <v>49</v>
      </c>
      <c r="H57" s="306"/>
      <c r="I57" s="17"/>
    </row>
    <row r="58" spans="1:9" ht="12.75">
      <c r="A58" s="141"/>
      <c r="B58" s="17"/>
      <c r="C58" s="17"/>
      <c r="D58" s="17"/>
      <c r="E58" s="17"/>
      <c r="F58" s="111"/>
      <c r="G58" s="17"/>
      <c r="H58" s="160"/>
      <c r="I58" s="17"/>
    </row>
    <row r="59" spans="1:9" ht="12.75">
      <c r="A59" s="146" t="s">
        <v>596</v>
      </c>
      <c r="B59" s="17"/>
      <c r="C59" s="17"/>
      <c r="D59" s="17"/>
      <c r="E59" s="17"/>
      <c r="F59" s="111"/>
      <c r="G59" s="17"/>
      <c r="H59" s="160"/>
      <c r="I59" s="17"/>
    </row>
    <row r="60" spans="1:9" ht="12.75">
      <c r="A60" s="141"/>
      <c r="B60" s="17"/>
      <c r="C60" s="17"/>
      <c r="D60" s="17"/>
      <c r="E60" s="17"/>
      <c r="F60" s="111"/>
      <c r="G60" s="17"/>
      <c r="H60" s="160"/>
      <c r="I60" s="17"/>
    </row>
    <row r="61" spans="1:8" ht="13.5" thickBot="1">
      <c r="A61" s="301" t="s">
        <v>38</v>
      </c>
      <c r="B61" s="288"/>
      <c r="C61" s="288" t="s">
        <v>40</v>
      </c>
      <c r="D61" s="288"/>
      <c r="E61" s="17"/>
      <c r="F61" s="111"/>
      <c r="G61" s="309" t="s">
        <v>594</v>
      </c>
      <c r="H61" s="345"/>
    </row>
    <row r="62" spans="1:8" ht="13.5" thickBot="1">
      <c r="A62" s="319">
        <v>2362</v>
      </c>
      <c r="B62" s="320"/>
      <c r="C62" s="315">
        <f>F10</f>
        <v>2000</v>
      </c>
      <c r="D62" s="316"/>
      <c r="E62" s="161"/>
      <c r="F62" s="147"/>
      <c r="G62" s="307">
        <f>A62/C62</f>
        <v>1.18</v>
      </c>
      <c r="H62" s="308"/>
    </row>
    <row r="63" spans="1:8" ht="13.5" thickBot="1">
      <c r="A63" s="343">
        <f>G57</f>
        <v>49</v>
      </c>
      <c r="B63" s="344"/>
      <c r="C63" s="325">
        <f>A16</f>
        <v>3292</v>
      </c>
      <c r="D63" s="325"/>
      <c r="E63" s="311" t="s">
        <v>567</v>
      </c>
      <c r="F63" s="312"/>
      <c r="G63" s="307">
        <f>A63/C63</f>
        <v>0.01</v>
      </c>
      <c r="H63" s="308"/>
    </row>
    <row r="65" ht="12.75">
      <c r="A65" s="2" t="s">
        <v>41</v>
      </c>
    </row>
    <row r="67" spans="1:7" ht="13.5" thickBot="1">
      <c r="A67" s="3" t="s">
        <v>42</v>
      </c>
      <c r="B67" s="6" t="s">
        <v>43</v>
      </c>
      <c r="C67" s="6" t="s">
        <v>44</v>
      </c>
      <c r="D67" s="1"/>
      <c r="F67" s="309" t="s">
        <v>551</v>
      </c>
      <c r="G67" s="309"/>
    </row>
    <row r="68" spans="1:7" ht="13.5" thickBot="1">
      <c r="A68" s="113">
        <f>F10</f>
        <v>2000</v>
      </c>
      <c r="B68" s="188">
        <v>18</v>
      </c>
      <c r="C68" s="188">
        <v>96.2</v>
      </c>
      <c r="D68" s="1"/>
      <c r="F68" s="305">
        <f>(A68*B68/96.2)*0.72</f>
        <v>269</v>
      </c>
      <c r="G68" s="306"/>
    </row>
    <row r="69" spans="1:7" ht="13.5" thickBot="1">
      <c r="A69" s="113">
        <f>A16</f>
        <v>3292</v>
      </c>
      <c r="B69" s="194">
        <f>G45</f>
        <v>3.2</v>
      </c>
      <c r="C69" s="187">
        <f>E28</f>
        <v>102</v>
      </c>
      <c r="D69" s="1"/>
      <c r="F69" s="305">
        <f>(A69*B69/96.2)*0.72</f>
        <v>79</v>
      </c>
      <c r="G69" s="306"/>
    </row>
    <row r="70" ht="13.5" thickBot="1"/>
    <row r="71" spans="1:9" ht="12.75">
      <c r="A71" s="138" t="s">
        <v>45</v>
      </c>
      <c r="B71" s="158"/>
      <c r="C71" s="158"/>
      <c r="D71" s="158"/>
      <c r="E71" s="158"/>
      <c r="F71" s="139"/>
      <c r="G71" s="159"/>
      <c r="H71" s="17"/>
      <c r="I71" s="17"/>
    </row>
    <row r="72" spans="1:9" ht="12.75">
      <c r="A72" s="141"/>
      <c r="B72" s="17"/>
      <c r="C72" s="17"/>
      <c r="D72" s="17"/>
      <c r="E72" s="17"/>
      <c r="F72" s="111"/>
      <c r="G72" s="160"/>
      <c r="H72" s="17"/>
      <c r="I72" s="17"/>
    </row>
    <row r="73" spans="1:9" ht="13.5" thickBot="1">
      <c r="A73" s="301" t="s">
        <v>46</v>
      </c>
      <c r="B73" s="288"/>
      <c r="C73" s="104" t="s">
        <v>47</v>
      </c>
      <c r="D73" s="310" t="s">
        <v>48</v>
      </c>
      <c r="E73" s="310"/>
      <c r="F73" s="310"/>
      <c r="G73" s="160"/>
      <c r="H73" s="17"/>
      <c r="I73" s="17"/>
    </row>
    <row r="74" spans="1:9" ht="13.5" thickBot="1">
      <c r="A74" s="301">
        <v>150</v>
      </c>
      <c r="B74" s="288"/>
      <c r="C74" s="109">
        <v>14.5</v>
      </c>
      <c r="D74" s="291">
        <f>1.227*A74/(C74^2)</f>
        <v>0.875</v>
      </c>
      <c r="E74" s="292"/>
      <c r="F74" s="293"/>
      <c r="G74" s="160"/>
      <c r="H74" s="17"/>
      <c r="I74" s="17"/>
    </row>
    <row r="75" spans="1:9" ht="12.75">
      <c r="A75" s="141"/>
      <c r="B75" s="17"/>
      <c r="C75" s="17"/>
      <c r="D75" s="17"/>
      <c r="E75" s="17"/>
      <c r="F75" s="111"/>
      <c r="G75" s="160"/>
      <c r="H75" s="17"/>
      <c r="I75" s="17"/>
    </row>
    <row r="76" spans="1:9" ht="12.75">
      <c r="A76" s="146" t="s">
        <v>49</v>
      </c>
      <c r="B76" s="17"/>
      <c r="C76" s="17"/>
      <c r="D76" s="17"/>
      <c r="E76" s="17"/>
      <c r="F76" s="111"/>
      <c r="G76" s="160"/>
      <c r="H76" s="17"/>
      <c r="I76" s="17"/>
    </row>
    <row r="77" spans="1:9" ht="12.75">
      <c r="A77" s="141"/>
      <c r="B77" s="17"/>
      <c r="C77" s="17"/>
      <c r="D77" s="17"/>
      <c r="E77" s="17"/>
      <c r="F77" s="111"/>
      <c r="G77" s="160"/>
      <c r="H77" s="17"/>
      <c r="I77" s="17"/>
    </row>
    <row r="78" spans="1:7" ht="13.5" thickBot="1">
      <c r="A78" s="150" t="s">
        <v>42</v>
      </c>
      <c r="B78" s="104" t="s">
        <v>43</v>
      </c>
      <c r="C78" s="104" t="s">
        <v>50</v>
      </c>
      <c r="D78" s="109" t="s">
        <v>51</v>
      </c>
      <c r="E78" s="310" t="s">
        <v>623</v>
      </c>
      <c r="F78" s="310"/>
      <c r="G78" s="321"/>
    </row>
    <row r="79" spans="1:7" ht="13.5" thickBot="1">
      <c r="A79" s="113">
        <f>F10</f>
        <v>2000</v>
      </c>
      <c r="B79" s="95">
        <v>18</v>
      </c>
      <c r="C79" s="95">
        <v>60</v>
      </c>
      <c r="D79" s="103">
        <v>0.875</v>
      </c>
      <c r="E79" s="314">
        <f>(A79*B79)/C79*D79</f>
        <v>525</v>
      </c>
      <c r="F79" s="296"/>
      <c r="G79" s="297"/>
    </row>
    <row r="80" spans="1:7" ht="13.5" thickBot="1">
      <c r="A80" s="113">
        <f>A16</f>
        <v>3292</v>
      </c>
      <c r="B80" s="121">
        <f>B69</f>
        <v>3.2</v>
      </c>
      <c r="C80" s="113">
        <f>F34</f>
        <v>60</v>
      </c>
      <c r="D80" s="195">
        <f>D74</f>
        <v>0.875</v>
      </c>
      <c r="E80" s="314">
        <f>(A80*B80)/C80*D80</f>
        <v>153.626666666667</v>
      </c>
      <c r="F80" s="296"/>
      <c r="G80" s="297"/>
    </row>
  </sheetData>
  <mergeCells count="104">
    <mergeCell ref="A63:B63"/>
    <mergeCell ref="H40:I40"/>
    <mergeCell ref="G49:H49"/>
    <mergeCell ref="G45:I45"/>
    <mergeCell ref="G62:H62"/>
    <mergeCell ref="G61:H61"/>
    <mergeCell ref="G57:H57"/>
    <mergeCell ref="G55:H55"/>
    <mergeCell ref="G51:H51"/>
    <mergeCell ref="G56:H56"/>
    <mergeCell ref="A61:B61"/>
    <mergeCell ref="E57:F57"/>
    <mergeCell ref="A39:B39"/>
    <mergeCell ref="A44:B44"/>
    <mergeCell ref="C39:D39"/>
    <mergeCell ref="A40:B40"/>
    <mergeCell ref="C40:D40"/>
    <mergeCell ref="C61:D61"/>
    <mergeCell ref="A49:B49"/>
    <mergeCell ref="C55:D55"/>
    <mergeCell ref="A36:F36"/>
    <mergeCell ref="J40:K40"/>
    <mergeCell ref="A24:F24"/>
    <mergeCell ref="A12:D12"/>
    <mergeCell ref="A18:D18"/>
    <mergeCell ref="E28:G28"/>
    <mergeCell ref="A28:B28"/>
    <mergeCell ref="C22:E22"/>
    <mergeCell ref="A21:B21"/>
    <mergeCell ref="C21:E21"/>
    <mergeCell ref="A2:J2"/>
    <mergeCell ref="A3:J3"/>
    <mergeCell ref="A4:J4"/>
    <mergeCell ref="A5:J5"/>
    <mergeCell ref="A6:J6"/>
    <mergeCell ref="A38:B38"/>
    <mergeCell ref="A43:B43"/>
    <mergeCell ref="C38:D38"/>
    <mergeCell ref="J38:K38"/>
    <mergeCell ref="G43:I43"/>
    <mergeCell ref="A27:B27"/>
    <mergeCell ref="C27:D27"/>
    <mergeCell ref="E27:G27"/>
    <mergeCell ref="C28:D28"/>
    <mergeCell ref="G44:I44"/>
    <mergeCell ref="A30:E30"/>
    <mergeCell ref="C63:D63"/>
    <mergeCell ref="A62:B62"/>
    <mergeCell ref="C62:D62"/>
    <mergeCell ref="G50:H50"/>
    <mergeCell ref="A48:H48"/>
    <mergeCell ref="E49:F49"/>
    <mergeCell ref="E50:F50"/>
    <mergeCell ref="A57:B57"/>
    <mergeCell ref="A73:B73"/>
    <mergeCell ref="A74:B74"/>
    <mergeCell ref="E78:G78"/>
    <mergeCell ref="E80:G80"/>
    <mergeCell ref="D74:F74"/>
    <mergeCell ref="E79:G79"/>
    <mergeCell ref="C57:D57"/>
    <mergeCell ref="A50:B50"/>
    <mergeCell ref="C50:D50"/>
    <mergeCell ref="A51:B51"/>
    <mergeCell ref="A56:B56"/>
    <mergeCell ref="C56:D56"/>
    <mergeCell ref="A55:B55"/>
    <mergeCell ref="C49:D49"/>
    <mergeCell ref="C51:D51"/>
    <mergeCell ref="A32:B32"/>
    <mergeCell ref="A34:B34"/>
    <mergeCell ref="C32:E32"/>
    <mergeCell ref="C34:E34"/>
    <mergeCell ref="A33:B33"/>
    <mergeCell ref="C33:E33"/>
    <mergeCell ref="E51:F51"/>
    <mergeCell ref="A45:B45"/>
    <mergeCell ref="A20:B20"/>
    <mergeCell ref="A26:B26"/>
    <mergeCell ref="C26:D26"/>
    <mergeCell ref="A14:B14"/>
    <mergeCell ref="A16:B16"/>
    <mergeCell ref="C14:E14"/>
    <mergeCell ref="C15:E15"/>
    <mergeCell ref="C16:E16"/>
    <mergeCell ref="A15:B15"/>
    <mergeCell ref="A22:B22"/>
    <mergeCell ref="C20:E20"/>
    <mergeCell ref="H26:K26"/>
    <mergeCell ref="H28:K28"/>
    <mergeCell ref="H27:K27"/>
    <mergeCell ref="E26:G26"/>
    <mergeCell ref="J39:K39"/>
    <mergeCell ref="H38:I38"/>
    <mergeCell ref="G32:J32"/>
    <mergeCell ref="G33:J33"/>
    <mergeCell ref="G34:J34"/>
    <mergeCell ref="H39:I39"/>
    <mergeCell ref="F69:G69"/>
    <mergeCell ref="G63:H63"/>
    <mergeCell ref="F67:G67"/>
    <mergeCell ref="D73:F73"/>
    <mergeCell ref="F68:G68"/>
    <mergeCell ref="E63:F63"/>
  </mergeCells>
  <printOptions/>
  <pageMargins left="0.75" right="0.75" top="1" bottom="1" header="0.5" footer="0.5"/>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 Kooser</dc:creator>
  <cp:keywords/>
  <dc:description/>
  <cp:lastModifiedBy>Count Blah!</cp:lastModifiedBy>
  <cp:lastPrinted>1997-11-30T21:36:23Z</cp:lastPrinted>
  <dcterms:created xsi:type="dcterms:W3CDTF">1997-11-13T17:15:07Z</dcterms:created>
  <dcterms:modified xsi:type="dcterms:W3CDTF">2005-02-18T21:00:48Z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